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4.xml" ContentType="application/vnd.ms-excel.controlproperties+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9.xml" ContentType="application/vnd.openxmlformats-officedocument.drawingml.chartshapes+xml"/>
  <Override PartName="/xl/charts/chart16.xml" ContentType="application/vnd.openxmlformats-officedocument.drawingml.chart+xml"/>
  <Override PartName="/xl/drawings/drawing10.xml" ContentType="application/vnd.openxmlformats-officedocument.drawingml.chartshapes+xml"/>
  <Override PartName="/xl/charts/chart17.xml" ContentType="application/vnd.openxmlformats-officedocument.drawingml.chart+xml"/>
  <Override PartName="/xl/drawings/drawing1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2.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workbookProtection workbookPassword="CCC8" lockStructure="1"/>
  <bookViews>
    <workbookView xWindow="-60" yWindow="-105" windowWidth="7230" windowHeight="6735" tabRatio="420"/>
  </bookViews>
  <sheets>
    <sheet name="Design PSR Flyback Converter" sheetId="1" r:id="rId1"/>
    <sheet name="BOM &amp; Schematic" sheetId="16" r:id="rId2"/>
    <sheet name="EVMs" sheetId="14" r:id="rId3"/>
    <sheet name="Variable Mgmt" sheetId="2" state="hidden" r:id="rId4"/>
    <sheet name="Calculations - Single" sheetId="24" state="hidden" r:id="rId5"/>
    <sheet name="Calculations - Dual" sheetId="25" state="hidden" r:id="rId6"/>
    <sheet name="Fsw vs VIN" sheetId="23" state="hidden" r:id="rId7"/>
    <sheet name="Parameters" sheetId="19" state="hidden" r:id="rId8"/>
    <sheet name="Efficiency Plots" sheetId="22" state="hidden" r:id="rId9"/>
    <sheet name="Fsw Plots" sheetId="28" state="hidden" r:id="rId10"/>
    <sheet name="Schematic Mgmt" sheetId="21" state="hidden" r:id="rId11"/>
    <sheet name="Standard Value Calculator" sheetId="8" state="hidden" r:id="rId12"/>
  </sheets>
  <definedNames>
    <definedName name="_Don1">'Variable Mgmt'!$B$60</definedName>
    <definedName name="BDserR">Parameters!$D$50</definedName>
    <definedName name="Cb">'Variable Mgmt'!$B$147</definedName>
    <definedName name="Cin" localSheetId="7">Parameters!$D$30</definedName>
    <definedName name="Cin">'Variable Mgmt'!$B$112</definedName>
    <definedName name="CinEsrMax">'Variable Mgmt'!$B$114</definedName>
    <definedName name="Cinmin">'Variable Mgmt'!$B$110</definedName>
    <definedName name="CONFIG">'Variable Mgmt'!$C$52</definedName>
    <definedName name="Coss">Parameters!$D$45</definedName>
    <definedName name="Cout" localSheetId="7">Parameters!$D$32</definedName>
    <definedName name="Cout">'Variable Mgmt'!$B$87</definedName>
    <definedName name="Cout_Voltage_Rating">'Variable Mgmt'!$S$53</definedName>
    <definedName name="Cout2">'Variable Mgmt'!$B$97</definedName>
    <definedName name="CoutEsr">'Variable Mgmt'!$B$89</definedName>
    <definedName name="CoutEsr2">'Variable Mgmt'!$B$99</definedName>
    <definedName name="Css">'Variable Mgmt'!$B$127</definedName>
    <definedName name="Css_u">'Variable Mgmt'!$B$128</definedName>
    <definedName name="Csw">Parameters!$D$46</definedName>
    <definedName name="Diode_TC">'Variable Mgmt'!$B$158</definedName>
    <definedName name="Don_Vinmax">'Variable Mgmt'!$B$63</definedName>
    <definedName name="Don_Vinmin">'Variable Mgmt'!$B$61</definedName>
    <definedName name="Don_Vinnom">'Variable Mgmt'!$B$62</definedName>
    <definedName name="EFF_DUAL">'Efficiency Plots'!$B$7</definedName>
    <definedName name="EFF_SINGLE">'Efficiency Plots'!$B$5</definedName>
    <definedName name="Efficiency">'Variable Mgmt'!$B$33</definedName>
    <definedName name="Fsw" localSheetId="7">Parameters!$D$20</definedName>
    <definedName name="Fsw_DCM">'Variable Mgmt'!$B$40</definedName>
    <definedName name="Fsw_DUAL">'Fsw Plots'!$B$7</definedName>
    <definedName name="Fsw_max">Parameters!$D$21</definedName>
    <definedName name="Fsw_SINGLE">'Fsw Plots'!$B$5</definedName>
    <definedName name="Icinrms">'Variable Mgmt'!$B$109</definedName>
    <definedName name="Icoutrms">'Variable Mgmt'!$B$81</definedName>
    <definedName name="Iin_Vinmax">'Variable Mgmt'!$B$37</definedName>
    <definedName name="Iin_Vinmin">'Variable Mgmt'!$B$35</definedName>
    <definedName name="Iin_Vinnom">'Variable Mgmt'!$B$36</definedName>
    <definedName name="Iout">'Variable Mgmt'!$B$12</definedName>
    <definedName name="Iout_max">Parameters!$D$10</definedName>
    <definedName name="Iout2">'Variable Mgmt'!$B$18</definedName>
    <definedName name="Iout2_actual">'Variable Mgmt'!$B$19</definedName>
    <definedName name="Ioutmax_Vinmax" localSheetId="5">'Calculations - Dual'!$Q$218</definedName>
    <definedName name="Ioutmax_Vinmax">'Calculations - Single'!$P$217</definedName>
    <definedName name="Ioutmax_Vinmin" localSheetId="5">'Calculations - Dual'!$Q$110</definedName>
    <definedName name="Ioutmax_Vinmin">'Calculations - Single'!$P$110</definedName>
    <definedName name="Ioutmax_Vinnom" localSheetId="5">'Calculations - Dual'!$Q$5</definedName>
    <definedName name="Ioutmax_Vinnom">'Calculations - Single'!$P$5</definedName>
    <definedName name="IQ">Parameters!$D$40</definedName>
    <definedName name="Iripple">Parameters!$D$19</definedName>
    <definedName name="Iripple_Vinmax" localSheetId="5">'Variable Mgmt'!#REF!</definedName>
    <definedName name="Iripple_Vinmax" localSheetId="9">'Variable Mgmt'!#REF!</definedName>
    <definedName name="Iripple_Vinmin" localSheetId="5">'Variable Mgmt'!#REF!</definedName>
    <definedName name="Iripple_Vinmin" localSheetId="9">'Variable Mgmt'!#REF!</definedName>
    <definedName name="Iripple_Vinnom" localSheetId="5">'Variable Mgmt'!#REF!</definedName>
    <definedName name="Iripple_Vinnom" localSheetId="9">'Variable Mgmt'!#REF!</definedName>
    <definedName name="Iripple1" localSheetId="5">'Variable Mgmt'!#REF!</definedName>
    <definedName name="Iripple1" localSheetId="9">'Variable Mgmt'!#REF!</definedName>
    <definedName name="Iss">'Variable Mgmt'!$B$126</definedName>
    <definedName name="Isw_max">Parameters!$D$35</definedName>
    <definedName name="Isw_min">Parameters!$D$36</definedName>
    <definedName name="Iuvlo_hys">'Variable Mgmt'!$B$137</definedName>
    <definedName name="Iuvlo1">'Variable Mgmt'!$B$135</definedName>
    <definedName name="Iuvlo2">'Variable Mgmt'!$B$136</definedName>
    <definedName name="k_core">Parameters!$D$29</definedName>
    <definedName name="L">Parameters!$D$26</definedName>
    <definedName name="Lf">'Variable Mgmt'!$B$65</definedName>
    <definedName name="Lleak">'Variable Mgmt'!$B$66</definedName>
    <definedName name="Lmin">'Variable Mgmt'!$B$76</definedName>
    <definedName name="Ltc">'Variable Mgmt'!$B$169</definedName>
    <definedName name="max_I">Parameters!$H$109</definedName>
    <definedName name="min_I">Parameters!$H$108</definedName>
    <definedName name="MODE">'Variable Mgmt'!$C$51</definedName>
    <definedName name="MODE_SS">'Variable Mgmt'!$J$56</definedName>
    <definedName name="MODE_TC">'Variable Mgmt'!$G$50</definedName>
    <definedName name="MODE_TOP">'Variable Mgmt'!$B$51</definedName>
    <definedName name="MODE_UVLO">'Variable Mgmt'!$G$56</definedName>
    <definedName name="Npri_sec1">'Variable Mgmt'!$R$41</definedName>
    <definedName name="Npri_sec2">'Variable Mgmt'!$R$43</definedName>
    <definedName name="Nps">'Variable Mgmt'!$R$40</definedName>
    <definedName name="Nsec1sec2">'Variable Mgmt'!$R$42</definedName>
    <definedName name="OffTime">Parameters!$D$18</definedName>
    <definedName name="OnTime">Parameters!$D$17</definedName>
    <definedName name="Pi">'Variable Mgmt'!$B$150</definedName>
    <definedName name="PICTURE1">INDIRECT('Schematic Mgmt'!$A$2)</definedName>
    <definedName name="PICTURE2">INDIRECT('Fsw Plots'!$A$2)</definedName>
    <definedName name="PICTURE3">INDIRECT('Efficiency Plots'!$A$2)</definedName>
    <definedName name="Pin">'Variable Mgmt'!$B$34</definedName>
    <definedName name="PLOT_TYPE">'Variable Mgmt'!$M$56</definedName>
    <definedName name="Pout">'Variable Mgmt'!$B$14</definedName>
    <definedName name="Pout_total">'Variable Mgmt'!$B$22</definedName>
    <definedName name="Pout2">'Variable Mgmt'!$B$21</definedName>
    <definedName name="_xlnm.Print_Area" localSheetId="1">'BOM &amp; Schematic'!$A$1:$I$51</definedName>
    <definedName name="_xlnm.Print_Area" localSheetId="0">'Design PSR Flyback Converter'!$A$1:$R$48</definedName>
    <definedName name="Qg">Parameters!$D$44</definedName>
    <definedName name="RCinEsr" localSheetId="7">Parameters!$D$31</definedName>
    <definedName name="RCinEsr">'Variable Mgmt'!$B$115</definedName>
    <definedName name="RCoutEsr" localSheetId="7">Parameters!$D$33</definedName>
    <definedName name="RCoutEsr">'Variable Mgmt'!$B$89</definedName>
    <definedName name="Rdcr_pri">'Variable Mgmt'!$B$67</definedName>
    <definedName name="Rdcr_sec">'Variable Mgmt'!$B$68</definedName>
    <definedName name="Rdcr_sec2">'Variable Mgmt'!$B$69</definedName>
    <definedName name="Rdson">Parameters!$D$42</definedName>
    <definedName name="Rfb">'Variable Mgmt'!$B$42</definedName>
    <definedName name="Rfb_recommend">'Variable Mgmt'!$B$154</definedName>
    <definedName name="Rfb2_u">'Variable Mgmt'!$B$156</definedName>
    <definedName name="Rout">'Variable Mgmt'!$B$13</definedName>
    <definedName name="Rout2">'Variable Mgmt'!$B$20</definedName>
    <definedName name="Rpg" localSheetId="9">'Variable Mgmt'!#REF!</definedName>
    <definedName name="Rpg">'Variable Mgmt'!#REF!</definedName>
    <definedName name="rr">Parameters!$H$110</definedName>
    <definedName name="RTC">'Variable Mgmt'!$B$160</definedName>
    <definedName name="RTC_1">'Variable Mgmt'!$B$159</definedName>
    <definedName name="Ruvlo1">'Variable Mgmt'!$B$142</definedName>
    <definedName name="Ruvlo2">'Variable Mgmt'!$B$143</definedName>
    <definedName name="SCH_BIPOLAR_UVLOadj_SSadj_TCno">'Schematic Mgmt'!$H$21</definedName>
    <definedName name="SCH_BIPOLAR_UVLOadj_SSadj_TCyes">'Schematic Mgmt'!$H$7</definedName>
    <definedName name="SCH_BIPOLAR_UVLOadj_SSint_TCno">'Schematic Mgmt'!$H$19</definedName>
    <definedName name="SCH_BIPOLAR_UVLOadj_SSint_TCyes">'Schematic Mgmt'!$H$17</definedName>
    <definedName name="SCH_BIPOLAR_UVLOint_SSadj_TCno">'Schematic Mgmt'!$H$15</definedName>
    <definedName name="SCH_BIPOLAR_UVLOint_SSadj_TCyes">'Schematic Mgmt'!$H$9</definedName>
    <definedName name="SCH_BIPOLAR_UVLOint_SSint_TCno">'Schematic Mgmt'!$H$13</definedName>
    <definedName name="SCH_BIPOLAR_UVLOint_SSint_TCyes">'Schematic Mgmt'!$H$11</definedName>
    <definedName name="SCH_DUAL_UVLOadj_SSadj_TCno">'Schematic Mgmt'!$E$21</definedName>
    <definedName name="SCH_DUAL_UVLOadj_SSadj_TCyes">'Schematic Mgmt'!$E$7</definedName>
    <definedName name="SCH_DUAL_UVLOadj_SSint_TCno">'Schematic Mgmt'!$E$19</definedName>
    <definedName name="SCH_DUAL_UVLOadj_SSint_TCyes">'Schematic Mgmt'!$E$17</definedName>
    <definedName name="SCH_DUAL_UVLOint_SSadj_TCno">'Schematic Mgmt'!$E$15</definedName>
    <definedName name="SCH_DUAL_UVLOint_SSadj_TCyes">'Schematic Mgmt'!$E$9</definedName>
    <definedName name="SCH_DUAL_UVLOint_SSint_TCno">'Schematic Mgmt'!$E$13</definedName>
    <definedName name="SCH_DUAL_UVLOint_SSint_TCyes">'Schematic Mgmt'!$E$11</definedName>
    <definedName name="SCH_SINGLE_UVLOadj_SSadj_TCno">'Schematic Mgmt'!$B$21</definedName>
    <definedName name="SCH_SINGLE_UVLOadj_SSadj_TCyes">'Schematic Mgmt'!$B$7</definedName>
    <definedName name="SCH_SINGLE_UVLOadj_SSint_TCno">'Schematic Mgmt'!$B$19</definedName>
    <definedName name="SCH_SINGLE_UVLOadj_SSint_TCyes">'Schematic Mgmt'!$B$17</definedName>
    <definedName name="SCH_SINGLE_UVLOint_SSadj_TCno">'Schematic Mgmt'!$B$15</definedName>
    <definedName name="SCH_SINGLE_UVLOint_SSadj_TCyes">'Schematic Mgmt'!$B$9</definedName>
    <definedName name="SCH_SINGLE_UVLOint_SSint_TCno">'Schematic Mgmt'!$B$13</definedName>
    <definedName name="SCH_SINGLE_UVLOint_SSint_TCyes">'Schematic Mgmt'!$B$11</definedName>
    <definedName name="Ta" localSheetId="7">Parameters!$D$12</definedName>
    <definedName name="Ta">'Variable Mgmt'!$B$167</definedName>
    <definedName name="TC">'Variable Mgmt'!$G$50</definedName>
    <definedName name="Tfall">Parameters!$D$23</definedName>
    <definedName name="ThetaCa">'Variable Mgmt'!$B$170</definedName>
    <definedName name="TL">'Variable Mgmt'!$B$77</definedName>
    <definedName name="toff_min1">Parameters!$B$37</definedName>
    <definedName name="toff_min2">Parameters!$B$38</definedName>
    <definedName name="Toff_Vinmax">'Variable Mgmt'!$B$151</definedName>
    <definedName name="Ton_Vinmin">'Variable Mgmt'!$B$152</definedName>
    <definedName name="Trise">Parameters!$D$22</definedName>
    <definedName name="TrrBot">Parameters!$D$52</definedName>
    <definedName name="Tss">'Variable Mgmt'!$B$125</definedName>
    <definedName name="Turns_Ratio">'Variable Mgmt'!$S$38</definedName>
    <definedName name="Turns_Ratio2">'Variable Mgmt'!$W$38</definedName>
    <definedName name="VARIANT">'Variable Mgmt'!$S$20</definedName>
    <definedName name="Vdd">Parameters!$D$13</definedName>
    <definedName name="Vfwd1">Parameters!$D$48</definedName>
    <definedName name="Vfwd2">Parameters!$D$49</definedName>
    <definedName name="Vin">'Design PSR Flyback Converter'!$E$7</definedName>
    <definedName name="VIN_max">'Variable Mgmt'!$B$9</definedName>
    <definedName name="VIN_min">'Variable Mgmt'!$B$7</definedName>
    <definedName name="VIN_nom">'Variable Mgmt'!$B$8</definedName>
    <definedName name="Vinripple1">'Variable Mgmt'!$B$107</definedName>
    <definedName name="Vinripple2">'Variable Mgmt'!$B$121</definedName>
    <definedName name="VINuvlo_off">'Variable Mgmt'!$B$140</definedName>
    <definedName name="VINuvlo_on">'Variable Mgmt'!$B$139</definedName>
    <definedName name="Vout">'Variable Mgmt'!$B$11</definedName>
    <definedName name="Vout_ripple">'Variable Mgmt'!$B$30</definedName>
    <definedName name="Vout_ripple2">'Variable Mgmt'!$B$31</definedName>
    <definedName name="Vout2">'Variable Mgmt'!$B$16</definedName>
    <definedName name="Vout2_actual">'Variable Mgmt'!$B$17</definedName>
    <definedName name="Vref">'Variable Mgmt'!$B$41</definedName>
    <definedName name="Vripple1_actual">'Variable Mgmt'!$B$91</definedName>
    <definedName name="Vripple1_spec">'Variable Mgmt'!$B$85</definedName>
    <definedName name="Vripple2_actual">'Variable Mgmt'!$B$101</definedName>
    <definedName name="Vripple2_spec">'Variable Mgmt'!$B$95</definedName>
    <definedName name="VRRM_DIODE">'Variable Mgmt'!$B$28</definedName>
    <definedName name="Vuvlo_hys">'Variable Mgmt'!$B$134</definedName>
    <definedName name="Vuvlo_off">'Variable Mgmt'!$B$133</definedName>
    <definedName name="Vuvlo_on">'Variable Mgmt'!$B$132</definedName>
  </definedNames>
  <calcPr calcId="145621"/>
</workbook>
</file>

<file path=xl/calcChain.xml><?xml version="1.0" encoding="utf-8"?>
<calcChain xmlns="http://schemas.openxmlformats.org/spreadsheetml/2006/main">
  <c r="M15" i="1" l="1"/>
  <c r="K15" i="1"/>
  <c r="AY1" i="24" l="1"/>
  <c r="B35" i="19" l="1"/>
  <c r="B37" i="19" l="1"/>
  <c r="D37" i="19"/>
  <c r="D38" i="19" l="1"/>
  <c r="A40" i="16"/>
  <c r="K40" i="16"/>
  <c r="J40" i="16"/>
  <c r="I40" i="16"/>
  <c r="H40" i="16"/>
  <c r="K38" i="16" l="1"/>
  <c r="J38" i="16"/>
  <c r="J36" i="16"/>
  <c r="K35" i="16"/>
  <c r="J35" i="16"/>
  <c r="D47" i="16" l="1"/>
  <c r="H47" i="16"/>
  <c r="R20" i="2"/>
  <c r="B66" i="2" l="1"/>
  <c r="M10" i="1"/>
  <c r="K10" i="1"/>
  <c r="B36" i="19" l="1"/>
  <c r="B18" i="2" l="1"/>
  <c r="B28" i="19"/>
  <c r="D28" i="19" s="1"/>
  <c r="B49" i="19"/>
  <c r="D49" i="19" s="1"/>
  <c r="BO5" i="24" l="1"/>
  <c r="BN110" i="25"/>
  <c r="BO110" i="24"/>
  <c r="BR110" i="24" s="1"/>
  <c r="M1" i="24"/>
  <c r="BN5" i="25"/>
  <c r="BO5" i="25"/>
  <c r="R41" i="2"/>
  <c r="R40" i="2"/>
  <c r="W41" i="2"/>
  <c r="R38" i="2" l="1"/>
  <c r="R32" i="2"/>
  <c r="R34" i="2"/>
  <c r="K39" i="16" l="1"/>
  <c r="K37" i="16"/>
  <c r="K36" i="16"/>
  <c r="K46" i="16"/>
  <c r="J46" i="16"/>
  <c r="K33" i="16"/>
  <c r="J33" i="16"/>
  <c r="I33" i="16"/>
  <c r="H33" i="16"/>
  <c r="I34" i="16"/>
  <c r="H34" i="16"/>
  <c r="C37" i="16"/>
  <c r="D36" i="16"/>
  <c r="D35" i="16"/>
  <c r="J39" i="16"/>
  <c r="J37" i="16"/>
  <c r="H36" i="16"/>
  <c r="J45" i="16"/>
  <c r="I45" i="16"/>
  <c r="H45" i="16"/>
  <c r="A45" i="16"/>
  <c r="D38" i="16"/>
  <c r="D37" i="16"/>
  <c r="F206" i="2"/>
  <c r="K42" i="16"/>
  <c r="J42" i="16"/>
  <c r="I36" i="16"/>
  <c r="C36" i="16"/>
  <c r="B34" i="16"/>
  <c r="A36" i="16"/>
  <c r="B212" i="2"/>
  <c r="A33" i="16"/>
  <c r="K45" i="16"/>
  <c r="K13" i="1" l="1"/>
  <c r="M13" i="1"/>
  <c r="A2" i="28"/>
  <c r="A2" i="22"/>
  <c r="B17" i="2"/>
  <c r="B16" i="2"/>
  <c r="D40" i="16" l="1"/>
  <c r="C40" i="16"/>
  <c r="I5" i="25"/>
  <c r="B51" i="2"/>
  <c r="D206" i="2" s="1"/>
  <c r="B19" i="2"/>
  <c r="BP6" i="19"/>
  <c r="BQ6" i="19"/>
  <c r="BU6" i="19"/>
  <c r="BV6" i="19"/>
  <c r="BW6" i="19"/>
  <c r="CA6" i="19"/>
  <c r="CB6" i="19"/>
  <c r="CC6" i="19"/>
  <c r="BP7" i="19"/>
  <c r="BQ7" i="19"/>
  <c r="BU7" i="19"/>
  <c r="BV7" i="19"/>
  <c r="BW7" i="19"/>
  <c r="CA7" i="19"/>
  <c r="CB7" i="19"/>
  <c r="CC7" i="19"/>
  <c r="BP8" i="19"/>
  <c r="BQ8" i="19"/>
  <c r="BU8" i="19"/>
  <c r="BV8" i="19"/>
  <c r="BW8" i="19"/>
  <c r="CA8" i="19"/>
  <c r="CB8" i="19"/>
  <c r="CC8" i="19"/>
  <c r="BP9" i="19"/>
  <c r="BQ9" i="19"/>
  <c r="BU9" i="19"/>
  <c r="BV9" i="19"/>
  <c r="BW9" i="19"/>
  <c r="CA9" i="19"/>
  <c r="CB9" i="19"/>
  <c r="CC9" i="19"/>
  <c r="D24" i="2"/>
  <c r="A24" i="2"/>
  <c r="AL218" i="25"/>
  <c r="AL110" i="25"/>
  <c r="J105" i="25"/>
  <c r="J104" i="25"/>
  <c r="J103" i="25"/>
  <c r="J102" i="25"/>
  <c r="J101" i="25"/>
  <c r="J100" i="25"/>
  <c r="J99" i="25"/>
  <c r="J98" i="25"/>
  <c r="J97" i="25"/>
  <c r="J96" i="25"/>
  <c r="J95" i="25"/>
  <c r="J94" i="25"/>
  <c r="J93" i="25"/>
  <c r="J92" i="25"/>
  <c r="J91" i="25"/>
  <c r="J90" i="25"/>
  <c r="J89" i="25"/>
  <c r="J88" i="25"/>
  <c r="J87" i="25"/>
  <c r="J86" i="25"/>
  <c r="J85" i="25"/>
  <c r="J84" i="25"/>
  <c r="J83" i="25"/>
  <c r="J82" i="25"/>
  <c r="J81" i="25"/>
  <c r="J80" i="25"/>
  <c r="J79" i="25"/>
  <c r="J78" i="25"/>
  <c r="J77" i="25"/>
  <c r="J76" i="25"/>
  <c r="J75" i="25"/>
  <c r="J74" i="25"/>
  <c r="J73" i="25"/>
  <c r="J72" i="25"/>
  <c r="J71" i="25"/>
  <c r="J70" i="25"/>
  <c r="J69" i="25"/>
  <c r="J68" i="25"/>
  <c r="J67" i="25"/>
  <c r="J66" i="25"/>
  <c r="J65" i="25"/>
  <c r="J64" i="25"/>
  <c r="J63" i="25"/>
  <c r="J62" i="25"/>
  <c r="J61" i="25"/>
  <c r="J60" i="25"/>
  <c r="J59" i="25"/>
  <c r="J58" i="25"/>
  <c r="J57" i="25"/>
  <c r="J56" i="25"/>
  <c r="J55" i="25"/>
  <c r="J54" i="25"/>
  <c r="J53"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 r="J8" i="25"/>
  <c r="J7" i="25"/>
  <c r="J6" i="25"/>
  <c r="AL5" i="25"/>
  <c r="J5" i="25"/>
  <c r="K12" i="1"/>
  <c r="V38" i="2"/>
  <c r="V36" i="2"/>
  <c r="K9" i="1"/>
  <c r="V28" i="2"/>
  <c r="V29" i="2"/>
  <c r="V35" i="2"/>
  <c r="V34" i="2"/>
  <c r="V33" i="2"/>
  <c r="V32" i="2"/>
  <c r="V31" i="2"/>
  <c r="V30" i="2"/>
  <c r="B258" i="2" l="1"/>
  <c r="R37" i="2"/>
  <c r="R36" i="2"/>
  <c r="R35" i="2"/>
  <c r="R33" i="2"/>
  <c r="R31" i="2"/>
  <c r="R30" i="2"/>
  <c r="R29" i="2"/>
  <c r="R28" i="2"/>
  <c r="B99" i="2" l="1"/>
  <c r="B97" i="2"/>
  <c r="C33" i="16" s="1"/>
  <c r="B69" i="2"/>
  <c r="B74" i="2" s="1"/>
  <c r="K23" i="1" l="1"/>
  <c r="K20" i="1"/>
  <c r="D10" i="1"/>
  <c r="D11" i="1"/>
  <c r="D35" i="1"/>
  <c r="D13" i="1"/>
  <c r="D12" i="1"/>
  <c r="D23" i="1"/>
  <c r="D20" i="1"/>
  <c r="D36" i="1"/>
  <c r="B158" i="2" l="1"/>
  <c r="I56" i="2" l="1"/>
  <c r="B256" i="2"/>
  <c r="F13" i="1"/>
  <c r="B12" i="2"/>
  <c r="CC110" i="25" l="1"/>
  <c r="B241" i="2"/>
  <c r="G111" i="25"/>
  <c r="G115" i="25"/>
  <c r="G119" i="25"/>
  <c r="G123" i="25"/>
  <c r="G127" i="25"/>
  <c r="G131" i="25"/>
  <c r="G135" i="25"/>
  <c r="G139" i="25"/>
  <c r="G143" i="25"/>
  <c r="G147" i="25"/>
  <c r="G151" i="25"/>
  <c r="G155" i="25"/>
  <c r="G159" i="25"/>
  <c r="G163" i="25"/>
  <c r="G167" i="25"/>
  <c r="G171" i="25"/>
  <c r="G175" i="25"/>
  <c r="G179" i="25"/>
  <c r="G183" i="25"/>
  <c r="G187" i="25"/>
  <c r="G191" i="25"/>
  <c r="G195" i="25"/>
  <c r="G199" i="25"/>
  <c r="G203" i="25"/>
  <c r="G207" i="25"/>
  <c r="G218" i="25"/>
  <c r="G222" i="25"/>
  <c r="G226" i="25"/>
  <c r="G230" i="25"/>
  <c r="G234" i="25"/>
  <c r="G238" i="25"/>
  <c r="G242" i="25"/>
  <c r="G246" i="25"/>
  <c r="G250" i="25"/>
  <c r="G254" i="25"/>
  <c r="G258" i="25"/>
  <c r="G262" i="25"/>
  <c r="G266" i="25"/>
  <c r="G270" i="25"/>
  <c r="G274" i="25"/>
  <c r="G278" i="25"/>
  <c r="G282" i="25"/>
  <c r="G286" i="25"/>
  <c r="G290" i="25"/>
  <c r="G294" i="25"/>
  <c r="G298" i="25"/>
  <c r="G302" i="25"/>
  <c r="G306" i="25"/>
  <c r="G310" i="25"/>
  <c r="G314" i="25"/>
  <c r="G318" i="25"/>
  <c r="G8" i="25"/>
  <c r="G12" i="25"/>
  <c r="G16" i="25"/>
  <c r="G20" i="25"/>
  <c r="G24" i="25"/>
  <c r="G28" i="25"/>
  <c r="G32" i="25"/>
  <c r="G36" i="25"/>
  <c r="G40" i="25"/>
  <c r="G44" i="25"/>
  <c r="G48" i="25"/>
  <c r="G52" i="25"/>
  <c r="G56" i="25"/>
  <c r="G60" i="25"/>
  <c r="G64" i="25"/>
  <c r="G68" i="25"/>
  <c r="G72" i="25"/>
  <c r="G76" i="25"/>
  <c r="G80" i="25"/>
  <c r="G84" i="25"/>
  <c r="G88" i="25"/>
  <c r="G92" i="25"/>
  <c r="G96" i="25"/>
  <c r="G100" i="25"/>
  <c r="G104" i="25"/>
  <c r="G118" i="25"/>
  <c r="G150" i="25"/>
  <c r="G162" i="25"/>
  <c r="G174" i="25"/>
  <c r="G112" i="25"/>
  <c r="G116" i="25"/>
  <c r="G120" i="25"/>
  <c r="G124" i="25"/>
  <c r="G128" i="25"/>
  <c r="G132" i="25"/>
  <c r="G136" i="25"/>
  <c r="G140" i="25"/>
  <c r="G144" i="25"/>
  <c r="G148" i="25"/>
  <c r="G152" i="25"/>
  <c r="G156" i="25"/>
  <c r="G160" i="25"/>
  <c r="G164" i="25"/>
  <c r="G168" i="25"/>
  <c r="G172" i="25"/>
  <c r="G176" i="25"/>
  <c r="G180" i="25"/>
  <c r="G184" i="25"/>
  <c r="G188" i="25"/>
  <c r="G192" i="25"/>
  <c r="G196" i="25"/>
  <c r="G200" i="25"/>
  <c r="G204" i="25"/>
  <c r="G208" i="25"/>
  <c r="G219" i="25"/>
  <c r="G223" i="25"/>
  <c r="G227" i="25"/>
  <c r="G231" i="25"/>
  <c r="G235" i="25"/>
  <c r="G239" i="25"/>
  <c r="G243" i="25"/>
  <c r="G247" i="25"/>
  <c r="G251" i="25"/>
  <c r="G255" i="25"/>
  <c r="G259" i="25"/>
  <c r="G263" i="25"/>
  <c r="G267" i="25"/>
  <c r="G271" i="25"/>
  <c r="G275" i="25"/>
  <c r="G279" i="25"/>
  <c r="G283" i="25"/>
  <c r="G287" i="25"/>
  <c r="G291" i="25"/>
  <c r="G295" i="25"/>
  <c r="G299" i="25"/>
  <c r="G303" i="25"/>
  <c r="G307" i="25"/>
  <c r="G311" i="25"/>
  <c r="G315" i="25"/>
  <c r="G9" i="25"/>
  <c r="G13" i="25"/>
  <c r="G17" i="25"/>
  <c r="G21" i="25"/>
  <c r="G25" i="25"/>
  <c r="G29" i="25"/>
  <c r="G33" i="25"/>
  <c r="G37" i="25"/>
  <c r="G41" i="25"/>
  <c r="G45" i="25"/>
  <c r="G49" i="25"/>
  <c r="G53" i="25"/>
  <c r="G57" i="25"/>
  <c r="G61" i="25"/>
  <c r="G65" i="25"/>
  <c r="G69" i="25"/>
  <c r="G73" i="25"/>
  <c r="G77" i="25"/>
  <c r="G81" i="25"/>
  <c r="G85" i="25"/>
  <c r="G89" i="25"/>
  <c r="G93" i="25"/>
  <c r="G97" i="25"/>
  <c r="G101" i="25"/>
  <c r="G105" i="25"/>
  <c r="G122" i="25"/>
  <c r="G154" i="25"/>
  <c r="G170" i="25"/>
  <c r="G113" i="25"/>
  <c r="G117" i="25"/>
  <c r="G121" i="25"/>
  <c r="G125" i="25"/>
  <c r="G129" i="25"/>
  <c r="G133" i="25"/>
  <c r="G137" i="25"/>
  <c r="G141" i="25"/>
  <c r="G145" i="25"/>
  <c r="G149" i="25"/>
  <c r="G153" i="25"/>
  <c r="G157" i="25"/>
  <c r="G161" i="25"/>
  <c r="G165" i="25"/>
  <c r="G169" i="25"/>
  <c r="G173" i="25"/>
  <c r="G177" i="25"/>
  <c r="G181" i="25"/>
  <c r="G185" i="25"/>
  <c r="G189" i="25"/>
  <c r="G193" i="25"/>
  <c r="G197" i="25"/>
  <c r="G201" i="25"/>
  <c r="G205" i="25"/>
  <c r="G209" i="25"/>
  <c r="G220" i="25"/>
  <c r="G224" i="25"/>
  <c r="G228" i="25"/>
  <c r="G232" i="25"/>
  <c r="G236" i="25"/>
  <c r="G240" i="25"/>
  <c r="G244" i="25"/>
  <c r="G248" i="25"/>
  <c r="G252" i="25"/>
  <c r="G256" i="25"/>
  <c r="G260" i="25"/>
  <c r="G264" i="25"/>
  <c r="G268" i="25"/>
  <c r="G272" i="25"/>
  <c r="G276" i="25"/>
  <c r="G280" i="25"/>
  <c r="G284" i="25"/>
  <c r="G288" i="25"/>
  <c r="G292" i="25"/>
  <c r="G296" i="25"/>
  <c r="G300" i="25"/>
  <c r="G304" i="25"/>
  <c r="G308" i="25"/>
  <c r="G312" i="25"/>
  <c r="G316" i="25"/>
  <c r="G10" i="25"/>
  <c r="G14" i="25"/>
  <c r="G18" i="25"/>
  <c r="G22" i="25"/>
  <c r="G26" i="25"/>
  <c r="G30" i="25"/>
  <c r="G34" i="25"/>
  <c r="G38" i="25"/>
  <c r="G42" i="25"/>
  <c r="G46" i="25"/>
  <c r="G50" i="25"/>
  <c r="G54" i="25"/>
  <c r="G58" i="25"/>
  <c r="G62" i="25"/>
  <c r="G66" i="25"/>
  <c r="G70" i="25"/>
  <c r="G74" i="25"/>
  <c r="G78" i="25"/>
  <c r="G82" i="25"/>
  <c r="G86" i="25"/>
  <c r="G90" i="25"/>
  <c r="G94" i="25"/>
  <c r="G98" i="25"/>
  <c r="G102" i="25"/>
  <c r="G7" i="25"/>
  <c r="G110" i="25"/>
  <c r="G114" i="25"/>
  <c r="G126" i="25"/>
  <c r="G130" i="25"/>
  <c r="G134" i="25"/>
  <c r="G138" i="25"/>
  <c r="G142" i="25"/>
  <c r="G146" i="25"/>
  <c r="G158" i="25"/>
  <c r="G166" i="25"/>
  <c r="G182" i="25"/>
  <c r="G198" i="25"/>
  <c r="G221" i="25"/>
  <c r="G237" i="25"/>
  <c r="G253" i="25"/>
  <c r="G269" i="25"/>
  <c r="G285" i="25"/>
  <c r="G301" i="25"/>
  <c r="G317" i="25"/>
  <c r="G11" i="25"/>
  <c r="G27" i="25"/>
  <c r="G43" i="25"/>
  <c r="G59" i="25"/>
  <c r="G75" i="25"/>
  <c r="G91" i="25"/>
  <c r="G6" i="25"/>
  <c r="G186" i="25"/>
  <c r="G257" i="25"/>
  <c r="G305" i="25"/>
  <c r="G47" i="25"/>
  <c r="G95" i="25"/>
  <c r="G190" i="25"/>
  <c r="G206" i="25"/>
  <c r="G229" i="25"/>
  <c r="G245" i="25"/>
  <c r="G261" i="25"/>
  <c r="G277" i="25"/>
  <c r="G293" i="25"/>
  <c r="G309" i="25"/>
  <c r="G19" i="25"/>
  <c r="G35" i="25"/>
  <c r="G51" i="25"/>
  <c r="G67" i="25"/>
  <c r="G83" i="25"/>
  <c r="G99" i="25"/>
  <c r="G87" i="25"/>
  <c r="G225" i="25"/>
  <c r="G241" i="25"/>
  <c r="G289" i="25"/>
  <c r="G15" i="25"/>
  <c r="G63" i="25"/>
  <c r="G178" i="25"/>
  <c r="G194" i="25"/>
  <c r="G210" i="25"/>
  <c r="G233" i="25"/>
  <c r="G249" i="25"/>
  <c r="G265" i="25"/>
  <c r="G281" i="25"/>
  <c r="G297" i="25"/>
  <c r="G313" i="25"/>
  <c r="G23" i="25"/>
  <c r="G39" i="25"/>
  <c r="G55" i="25"/>
  <c r="G71" i="25"/>
  <c r="G103" i="25"/>
  <c r="G202" i="25"/>
  <c r="G273" i="25"/>
  <c r="G31" i="25"/>
  <c r="G79" i="25"/>
  <c r="F7" i="25"/>
  <c r="F6" i="25"/>
  <c r="I300" i="25" l="1"/>
  <c r="I236" i="25"/>
  <c r="I227" i="25"/>
  <c r="I281" i="25"/>
  <c r="I229" i="25"/>
  <c r="I301" i="25"/>
  <c r="I296" i="25"/>
  <c r="I264" i="25"/>
  <c r="I232" i="25"/>
  <c r="I287" i="25"/>
  <c r="I255" i="25"/>
  <c r="I223" i="25"/>
  <c r="I318" i="25"/>
  <c r="I286" i="25"/>
  <c r="I254" i="25"/>
  <c r="I222" i="25"/>
  <c r="I273" i="25"/>
  <c r="I245" i="25"/>
  <c r="I265" i="25"/>
  <c r="I289" i="25"/>
  <c r="I285" i="25"/>
  <c r="I292" i="25"/>
  <c r="I260" i="25"/>
  <c r="I228" i="25"/>
  <c r="I315" i="25"/>
  <c r="I283" i="25"/>
  <c r="I251" i="25"/>
  <c r="I219" i="25"/>
  <c r="I314" i="25"/>
  <c r="I282" i="25"/>
  <c r="I250" i="25"/>
  <c r="I249" i="25"/>
  <c r="I241" i="25"/>
  <c r="I269" i="25"/>
  <c r="I288" i="25"/>
  <c r="I256" i="25"/>
  <c r="I224" i="25"/>
  <c r="I311" i="25"/>
  <c r="I279" i="25"/>
  <c r="I247" i="25"/>
  <c r="I310" i="25"/>
  <c r="I278" i="25"/>
  <c r="I246" i="25"/>
  <c r="I297" i="25"/>
  <c r="I317" i="25"/>
  <c r="I233" i="25"/>
  <c r="I225" i="25"/>
  <c r="I309" i="25"/>
  <c r="I253" i="25"/>
  <c r="I316" i="25"/>
  <c r="I284" i="25"/>
  <c r="I252" i="25"/>
  <c r="I220" i="25"/>
  <c r="I307" i="25"/>
  <c r="I275" i="25"/>
  <c r="I243" i="25"/>
  <c r="I306" i="25"/>
  <c r="I274" i="25"/>
  <c r="I242" i="25"/>
  <c r="I293" i="25"/>
  <c r="I237" i="25"/>
  <c r="I312" i="25"/>
  <c r="I280" i="25"/>
  <c r="I248" i="25"/>
  <c r="I303" i="25"/>
  <c r="I271" i="25"/>
  <c r="I239" i="25"/>
  <c r="I302" i="25"/>
  <c r="I270" i="25"/>
  <c r="I238" i="25"/>
  <c r="I305" i="25"/>
  <c r="I308" i="25"/>
  <c r="I244" i="25"/>
  <c r="I299" i="25"/>
  <c r="I267" i="25"/>
  <c r="I298" i="25"/>
  <c r="I266" i="25"/>
  <c r="I234" i="25"/>
  <c r="I277" i="25"/>
  <c r="I221" i="25"/>
  <c r="I276" i="25"/>
  <c r="I235" i="25"/>
  <c r="I313" i="25"/>
  <c r="I261" i="25"/>
  <c r="I257" i="25"/>
  <c r="I304" i="25"/>
  <c r="I272" i="25"/>
  <c r="I240" i="25"/>
  <c r="I295" i="25"/>
  <c r="I263" i="25"/>
  <c r="I231" i="25"/>
  <c r="I294" i="25"/>
  <c r="I262" i="25"/>
  <c r="I230" i="25"/>
  <c r="I268" i="25"/>
  <c r="I291" i="25"/>
  <c r="I259" i="25"/>
  <c r="I290" i="25"/>
  <c r="I258" i="25"/>
  <c r="I226" i="25"/>
  <c r="BO16" i="25"/>
  <c r="BO26" i="25"/>
  <c r="BO81" i="25"/>
  <c r="BO44" i="25"/>
  <c r="BO63" i="25"/>
  <c r="BO67" i="25"/>
  <c r="BO86" i="25"/>
  <c r="BO54" i="25"/>
  <c r="BO22" i="25"/>
  <c r="BO77" i="25"/>
  <c r="BO45" i="25"/>
  <c r="BO13" i="25"/>
  <c r="BO104" i="25"/>
  <c r="BO72" i="25"/>
  <c r="BO40" i="25"/>
  <c r="BO8" i="25"/>
  <c r="BO99" i="25"/>
  <c r="BO62" i="25"/>
  <c r="BO90" i="25"/>
  <c r="BO76" i="25"/>
  <c r="BO12" i="25"/>
  <c r="BO51" i="25"/>
  <c r="BO6" i="25"/>
  <c r="BO82" i="25"/>
  <c r="BO50" i="25"/>
  <c r="BO18" i="25"/>
  <c r="BO105" i="25"/>
  <c r="BO73" i="25"/>
  <c r="BO41" i="25"/>
  <c r="BO9" i="25"/>
  <c r="BO100" i="25"/>
  <c r="BO68" i="25"/>
  <c r="BO36" i="25"/>
  <c r="BO79" i="25"/>
  <c r="BO27" i="25"/>
  <c r="BO30" i="25"/>
  <c r="BO53" i="25"/>
  <c r="BO80" i="25"/>
  <c r="BO35" i="25"/>
  <c r="BO91" i="25"/>
  <c r="BO78" i="25"/>
  <c r="BO46" i="25"/>
  <c r="BO14" i="25"/>
  <c r="BO101" i="25"/>
  <c r="BO69" i="25"/>
  <c r="BO37" i="25"/>
  <c r="BO96" i="25"/>
  <c r="BO64" i="25"/>
  <c r="BO32" i="25"/>
  <c r="BO23" i="25"/>
  <c r="BO21" i="25"/>
  <c r="BO11" i="25"/>
  <c r="BO58" i="25"/>
  <c r="BO15" i="25"/>
  <c r="BO103" i="25"/>
  <c r="BO71" i="25"/>
  <c r="BO19" i="25"/>
  <c r="BO75" i="25"/>
  <c r="BO7" i="25"/>
  <c r="BO74" i="25"/>
  <c r="BO42" i="25"/>
  <c r="BO10" i="25"/>
  <c r="BO97" i="25"/>
  <c r="BO65" i="25"/>
  <c r="BO33" i="25"/>
  <c r="BO92" i="25"/>
  <c r="BO60" i="25"/>
  <c r="BO28" i="25"/>
  <c r="BO49" i="25"/>
  <c r="BO59" i="25"/>
  <c r="BO102" i="25"/>
  <c r="BO70" i="25"/>
  <c r="BO38" i="25"/>
  <c r="BO93" i="25"/>
  <c r="BO61" i="25"/>
  <c r="BO29" i="25"/>
  <c r="BO88" i="25"/>
  <c r="BO56" i="25"/>
  <c r="BO24" i="25"/>
  <c r="BO94" i="25"/>
  <c r="BO85" i="25"/>
  <c r="BO48" i="25"/>
  <c r="BO31" i="25"/>
  <c r="BO83" i="25"/>
  <c r="BO17" i="25"/>
  <c r="BO55" i="25"/>
  <c r="BO95" i="25"/>
  <c r="BO39" i="25"/>
  <c r="BO87" i="25"/>
  <c r="BO47" i="25"/>
  <c r="BO43" i="25"/>
  <c r="BO98" i="25"/>
  <c r="BO66" i="25"/>
  <c r="BO34" i="25"/>
  <c r="BO89" i="25"/>
  <c r="BO57" i="25"/>
  <c r="BO25" i="25"/>
  <c r="BO84" i="25"/>
  <c r="BO52" i="25"/>
  <c r="BO20" i="25"/>
  <c r="I158" i="25"/>
  <c r="BO158" i="25"/>
  <c r="BO110" i="25"/>
  <c r="BR110" i="25" s="1"/>
  <c r="I189" i="25"/>
  <c r="BO189" i="25"/>
  <c r="I157" i="25"/>
  <c r="BO157" i="25"/>
  <c r="I125" i="25"/>
  <c r="BO125" i="25"/>
  <c r="I170" i="25"/>
  <c r="BO170" i="25"/>
  <c r="I180" i="25"/>
  <c r="BO180" i="25"/>
  <c r="I148" i="25"/>
  <c r="BO148" i="25"/>
  <c r="I116" i="25"/>
  <c r="BO116" i="25"/>
  <c r="I150" i="25"/>
  <c r="BO150" i="25"/>
  <c r="I195" i="25"/>
  <c r="BO195" i="25"/>
  <c r="I163" i="25"/>
  <c r="BO163" i="25"/>
  <c r="I131" i="25"/>
  <c r="BO131" i="25"/>
  <c r="I190" i="25"/>
  <c r="BO190" i="25"/>
  <c r="I198" i="25"/>
  <c r="BO198" i="25"/>
  <c r="I146" i="25"/>
  <c r="BO146" i="25"/>
  <c r="I130" i="25"/>
  <c r="BO130" i="25"/>
  <c r="I201" i="25"/>
  <c r="BO201" i="25"/>
  <c r="I169" i="25"/>
  <c r="BO169" i="25"/>
  <c r="I137" i="25"/>
  <c r="BO137" i="25"/>
  <c r="I154" i="25"/>
  <c r="BO154" i="25"/>
  <c r="I192" i="25"/>
  <c r="BO192" i="25"/>
  <c r="I160" i="25"/>
  <c r="BO160" i="25"/>
  <c r="I128" i="25"/>
  <c r="BO128" i="25"/>
  <c r="I207" i="25"/>
  <c r="BO207" i="25"/>
  <c r="I175" i="25"/>
  <c r="BO175" i="25"/>
  <c r="I143" i="25"/>
  <c r="BO143" i="25"/>
  <c r="I111" i="25"/>
  <c r="BO111" i="25"/>
  <c r="I202" i="25"/>
  <c r="BO202" i="25"/>
  <c r="I210" i="25"/>
  <c r="BO210" i="25"/>
  <c r="I166" i="25"/>
  <c r="BO166" i="25"/>
  <c r="I138" i="25"/>
  <c r="BO138" i="25"/>
  <c r="I114" i="25"/>
  <c r="BO114" i="25"/>
  <c r="I209" i="25"/>
  <c r="BO209" i="25"/>
  <c r="I193" i="25"/>
  <c r="BO193" i="25"/>
  <c r="I177" i="25"/>
  <c r="BO177" i="25"/>
  <c r="I161" i="25"/>
  <c r="BO161" i="25"/>
  <c r="I145" i="25"/>
  <c r="BO145" i="25"/>
  <c r="I129" i="25"/>
  <c r="BO129" i="25"/>
  <c r="I113" i="25"/>
  <c r="BO113" i="25"/>
  <c r="I200" i="25"/>
  <c r="BO200" i="25"/>
  <c r="I184" i="25"/>
  <c r="BO184" i="25"/>
  <c r="I168" i="25"/>
  <c r="BO168" i="25"/>
  <c r="I152" i="25"/>
  <c r="BO152" i="25"/>
  <c r="I136" i="25"/>
  <c r="BO136" i="25"/>
  <c r="I120" i="25"/>
  <c r="BO120" i="25"/>
  <c r="I162" i="25"/>
  <c r="BO162" i="25"/>
  <c r="I199" i="25"/>
  <c r="BO199" i="25"/>
  <c r="I183" i="25"/>
  <c r="BO183" i="25"/>
  <c r="I167" i="25"/>
  <c r="BO167" i="25"/>
  <c r="I151" i="25"/>
  <c r="BO151" i="25"/>
  <c r="I135" i="25"/>
  <c r="BO135" i="25"/>
  <c r="I119" i="25"/>
  <c r="BO119" i="25"/>
  <c r="I194" i="25"/>
  <c r="BO194" i="25"/>
  <c r="I206" i="25"/>
  <c r="BO206" i="25"/>
  <c r="I134" i="25"/>
  <c r="BO134" i="25"/>
  <c r="I205" i="25"/>
  <c r="BO205" i="25"/>
  <c r="I173" i="25"/>
  <c r="BO173" i="25"/>
  <c r="I141" i="25"/>
  <c r="BO141" i="25"/>
  <c r="I196" i="25"/>
  <c r="BO196" i="25"/>
  <c r="I164" i="25"/>
  <c r="BO164" i="25"/>
  <c r="I132" i="25"/>
  <c r="BO132" i="25"/>
  <c r="I179" i="25"/>
  <c r="BO179" i="25"/>
  <c r="I147" i="25"/>
  <c r="BO147" i="25"/>
  <c r="I115" i="25"/>
  <c r="BO115" i="25"/>
  <c r="I178" i="25"/>
  <c r="BO178" i="25"/>
  <c r="I185" i="25"/>
  <c r="BO185" i="25"/>
  <c r="I153" i="25"/>
  <c r="BO153" i="25"/>
  <c r="I121" i="25"/>
  <c r="BO121" i="25"/>
  <c r="I208" i="25"/>
  <c r="BO208" i="25"/>
  <c r="I176" i="25"/>
  <c r="BO176" i="25"/>
  <c r="I144" i="25"/>
  <c r="BO144" i="25"/>
  <c r="I112" i="25"/>
  <c r="BO112" i="25"/>
  <c r="I118" i="25"/>
  <c r="BO118" i="25"/>
  <c r="I191" i="25"/>
  <c r="BO191" i="25"/>
  <c r="I159" i="25"/>
  <c r="BO159" i="25"/>
  <c r="I127" i="25"/>
  <c r="BO127" i="25"/>
  <c r="I186" i="25"/>
  <c r="BO186" i="25"/>
  <c r="I182" i="25"/>
  <c r="BO182" i="25"/>
  <c r="I142" i="25"/>
  <c r="BO142" i="25"/>
  <c r="I126" i="25"/>
  <c r="BO126" i="25"/>
  <c r="I197" i="25"/>
  <c r="BO197" i="25"/>
  <c r="I181" i="25"/>
  <c r="BO181" i="25"/>
  <c r="I165" i="25"/>
  <c r="BO165" i="25"/>
  <c r="I149" i="25"/>
  <c r="BO149" i="25"/>
  <c r="I133" i="25"/>
  <c r="BO133" i="25"/>
  <c r="I117" i="25"/>
  <c r="BO117" i="25"/>
  <c r="I122" i="25"/>
  <c r="BO122" i="25"/>
  <c r="I204" i="25"/>
  <c r="BO204" i="25"/>
  <c r="I188" i="25"/>
  <c r="BO188" i="25"/>
  <c r="I172" i="25"/>
  <c r="BO172" i="25"/>
  <c r="I156" i="25"/>
  <c r="BO156" i="25"/>
  <c r="I140" i="25"/>
  <c r="BO140" i="25"/>
  <c r="I124" i="25"/>
  <c r="BO124" i="25"/>
  <c r="I174" i="25"/>
  <c r="BO174" i="25"/>
  <c r="I203" i="25"/>
  <c r="BO203" i="25"/>
  <c r="I187" i="25"/>
  <c r="BO187" i="25"/>
  <c r="I171" i="25"/>
  <c r="BO171" i="25"/>
  <c r="I155" i="25"/>
  <c r="BO155" i="25"/>
  <c r="I139" i="25"/>
  <c r="BO139" i="25"/>
  <c r="I123" i="25"/>
  <c r="BO123" i="25"/>
  <c r="CC6" i="25"/>
  <c r="BN6" i="25"/>
  <c r="CC7" i="25"/>
  <c r="BN7" i="25"/>
  <c r="I6" i="25"/>
  <c r="I7" i="25"/>
  <c r="I67" i="25"/>
  <c r="I86" i="25"/>
  <c r="I54" i="25"/>
  <c r="I22" i="25"/>
  <c r="I93" i="25"/>
  <c r="I61" i="25"/>
  <c r="I29" i="25"/>
  <c r="I104" i="25"/>
  <c r="I88" i="25"/>
  <c r="I72" i="25"/>
  <c r="I56" i="25"/>
  <c r="I40" i="25"/>
  <c r="I24" i="25"/>
  <c r="I8" i="25"/>
  <c r="I39" i="25"/>
  <c r="I15" i="25"/>
  <c r="I87" i="25"/>
  <c r="I51" i="25"/>
  <c r="I47" i="25"/>
  <c r="I43" i="25"/>
  <c r="I98" i="25"/>
  <c r="I82" i="25"/>
  <c r="I66" i="25"/>
  <c r="I50" i="25"/>
  <c r="I34" i="25"/>
  <c r="I18" i="25"/>
  <c r="I105" i="25"/>
  <c r="I89" i="25"/>
  <c r="I73" i="25"/>
  <c r="I57" i="25"/>
  <c r="I41" i="25"/>
  <c r="I25" i="25"/>
  <c r="I9" i="25"/>
  <c r="I100" i="25"/>
  <c r="I84" i="25"/>
  <c r="I68" i="25"/>
  <c r="I52" i="25"/>
  <c r="I36" i="25"/>
  <c r="I20" i="25"/>
  <c r="I59" i="25"/>
  <c r="I102" i="25"/>
  <c r="I38" i="25"/>
  <c r="I77" i="25"/>
  <c r="I13" i="25"/>
  <c r="I79" i="25"/>
  <c r="I23" i="25"/>
  <c r="I99" i="25"/>
  <c r="I91" i="25"/>
  <c r="I27" i="25"/>
  <c r="I94" i="25"/>
  <c r="I78" i="25"/>
  <c r="I62" i="25"/>
  <c r="I46" i="25"/>
  <c r="I30" i="25"/>
  <c r="I14" i="25"/>
  <c r="I101" i="25"/>
  <c r="I85" i="25"/>
  <c r="I69" i="25"/>
  <c r="I53" i="25"/>
  <c r="I37" i="25"/>
  <c r="I21" i="25"/>
  <c r="I96" i="25"/>
  <c r="I80" i="25"/>
  <c r="I64" i="25"/>
  <c r="I48" i="25"/>
  <c r="I32" i="25"/>
  <c r="I16" i="25"/>
  <c r="I55" i="25"/>
  <c r="I63" i="25"/>
  <c r="I95" i="25"/>
  <c r="I70" i="25"/>
  <c r="I45" i="25"/>
  <c r="I103" i="25"/>
  <c r="I35" i="25"/>
  <c r="I31" i="25"/>
  <c r="I71" i="25"/>
  <c r="I83" i="25"/>
  <c r="I19" i="25"/>
  <c r="I75" i="25"/>
  <c r="I11" i="25"/>
  <c r="I90" i="25"/>
  <c r="I74" i="25"/>
  <c r="I58" i="25"/>
  <c r="I42" i="25"/>
  <c r="I26" i="25"/>
  <c r="I10" i="25"/>
  <c r="I97" i="25"/>
  <c r="I81" i="25"/>
  <c r="I65" i="25"/>
  <c r="I49" i="25"/>
  <c r="I33" i="25"/>
  <c r="I17" i="25"/>
  <c r="I92" i="25"/>
  <c r="I76" i="25"/>
  <c r="I60" i="25"/>
  <c r="I44" i="25"/>
  <c r="I28" i="25"/>
  <c r="I12" i="25"/>
  <c r="I110" i="25"/>
  <c r="I218" i="25"/>
  <c r="B205" i="2"/>
  <c r="A203" i="2"/>
  <c r="B52" i="2"/>
  <c r="D202" i="2" l="1"/>
  <c r="A202" i="2"/>
  <c r="D201" i="2" l="1"/>
  <c r="D257" i="2"/>
  <c r="F12" i="1"/>
  <c r="C220" i="2"/>
  <c r="C229" i="2"/>
  <c r="D229" i="2"/>
  <c r="B48" i="19"/>
  <c r="B31" i="2" l="1"/>
  <c r="B20" i="2"/>
  <c r="B21" i="2"/>
  <c r="B24" i="2"/>
  <c r="C206" i="2"/>
  <c r="C52" i="2"/>
  <c r="B68" i="2"/>
  <c r="B73" i="2" s="1"/>
  <c r="B95" i="2" l="1"/>
  <c r="B58" i="2"/>
  <c r="C58" i="2"/>
  <c r="B257" i="2"/>
  <c r="C205" i="2"/>
  <c r="F205" i="2"/>
  <c r="D205" i="2"/>
  <c r="B202" i="2"/>
  <c r="B203" i="2"/>
  <c r="B116" i="2"/>
  <c r="B112" i="2"/>
  <c r="B213" i="2" s="1"/>
  <c r="B89" i="2"/>
  <c r="B87" i="2"/>
  <c r="D32" i="1"/>
  <c r="AM5" i="24"/>
  <c r="AM217" i="24"/>
  <c r="AM110" i="24"/>
  <c r="AY2" i="24" l="1"/>
  <c r="B208" i="2"/>
  <c r="B209" i="2"/>
  <c r="C32" i="16"/>
  <c r="B211" i="2"/>
  <c r="C31" i="16"/>
  <c r="I6" i="24"/>
  <c r="I7" i="24"/>
  <c r="I8" i="24"/>
  <c r="I9" i="24"/>
  <c r="I10" i="24"/>
  <c r="I11" i="24"/>
  <c r="I12" i="24"/>
  <c r="I13" i="24"/>
  <c r="I14" i="24"/>
  <c r="I15"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I41" i="24"/>
  <c r="I42" i="24"/>
  <c r="I43" i="24"/>
  <c r="I44" i="24"/>
  <c r="I45" i="24"/>
  <c r="I46" i="24"/>
  <c r="I47" i="24"/>
  <c r="I48" i="24"/>
  <c r="I49" i="24"/>
  <c r="I50" i="24"/>
  <c r="I51" i="24"/>
  <c r="I52" i="24"/>
  <c r="I53" i="24"/>
  <c r="I54" i="24"/>
  <c r="I55" i="24"/>
  <c r="I56" i="24"/>
  <c r="I57" i="24"/>
  <c r="I58" i="24"/>
  <c r="I59" i="24"/>
  <c r="I60" i="24"/>
  <c r="I61" i="24"/>
  <c r="I62" i="24"/>
  <c r="I63" i="24"/>
  <c r="I64" i="24"/>
  <c r="I65" i="24"/>
  <c r="I66" i="24"/>
  <c r="I67" i="24"/>
  <c r="I68" i="24"/>
  <c r="I69" i="24"/>
  <c r="I70" i="24"/>
  <c r="I71" i="24"/>
  <c r="I72" i="24"/>
  <c r="I73" i="24"/>
  <c r="I74" i="24"/>
  <c r="I75" i="24"/>
  <c r="I76" i="24"/>
  <c r="I77" i="24"/>
  <c r="I78" i="24"/>
  <c r="I79" i="24"/>
  <c r="I80" i="24"/>
  <c r="I81" i="24"/>
  <c r="I82" i="24"/>
  <c r="I83" i="24"/>
  <c r="I84" i="24"/>
  <c r="I85" i="24"/>
  <c r="I86" i="24"/>
  <c r="I87" i="24"/>
  <c r="I88" i="24"/>
  <c r="I89" i="24"/>
  <c r="I90" i="24"/>
  <c r="I91" i="24"/>
  <c r="I92" i="24"/>
  <c r="I93" i="24"/>
  <c r="I94" i="24"/>
  <c r="I95" i="24"/>
  <c r="I96" i="24"/>
  <c r="I97" i="24"/>
  <c r="I98" i="24"/>
  <c r="I99" i="24"/>
  <c r="I100" i="24"/>
  <c r="I101" i="24"/>
  <c r="I102" i="24"/>
  <c r="I103" i="24"/>
  <c r="I104" i="24"/>
  <c r="I105" i="24"/>
  <c r="I5" i="24"/>
  <c r="D21" i="19"/>
  <c r="D36" i="19"/>
  <c r="F12" i="19"/>
  <c r="D39" i="19"/>
  <c r="D35" i="19"/>
  <c r="B42" i="2"/>
  <c r="C42" i="16" s="1"/>
  <c r="D42" i="16" s="1"/>
  <c r="B33" i="19"/>
  <c r="F56" i="2"/>
  <c r="F50" i="2"/>
  <c r="D29" i="1"/>
  <c r="G230" i="2"/>
  <c r="C225" i="2"/>
  <c r="C226" i="2"/>
  <c r="A234" i="2"/>
  <c r="G51" i="2"/>
  <c r="A192" i="2"/>
  <c r="C238" i="2"/>
  <c r="P2" i="24" l="1"/>
  <c r="U2" i="24"/>
  <c r="B155" i="2"/>
  <c r="B159" i="2" s="1"/>
  <c r="I9" i="8" s="1"/>
  <c r="I10" i="8"/>
  <c r="B140" i="2"/>
  <c r="B137" i="2"/>
  <c r="B56" i="2" l="1"/>
  <c r="C182" i="2"/>
  <c r="K44" i="2"/>
  <c r="K34" i="16" l="1"/>
  <c r="J34" i="16"/>
  <c r="K44" i="16"/>
  <c r="K43" i="16"/>
  <c r="J44" i="16"/>
  <c r="J43" i="16"/>
  <c r="I44" i="16" l="1"/>
  <c r="I43" i="16"/>
  <c r="H44" i="16"/>
  <c r="H43" i="16"/>
  <c r="J41" i="16"/>
  <c r="K41" i="16"/>
  <c r="K32" i="16"/>
  <c r="J32" i="16"/>
  <c r="K31" i="16"/>
  <c r="J31" i="16" l="1"/>
  <c r="T61" i="2"/>
  <c r="R61" i="2"/>
  <c r="B11" i="2" l="1"/>
  <c r="B26" i="19"/>
  <c r="D26" i="19" s="1"/>
  <c r="B20" i="19"/>
  <c r="D20" i="19" s="1"/>
  <c r="B27" i="19"/>
  <c r="D27" i="19" s="1"/>
  <c r="B8" i="2"/>
  <c r="B67" i="2"/>
  <c r="B72" i="2" s="1"/>
  <c r="B65" i="2"/>
  <c r="B115" i="2"/>
  <c r="BP106" i="19"/>
  <c r="D46" i="19"/>
  <c r="A34" i="16"/>
  <c r="A44" i="16"/>
  <c r="A43" i="16"/>
  <c r="C239" i="2"/>
  <c r="B254" i="2"/>
  <c r="B229" i="2"/>
  <c r="B225" i="2"/>
  <c r="J50" i="2"/>
  <c r="C222" i="2"/>
  <c r="B222" i="2"/>
  <c r="B32" i="19"/>
  <c r="D32" i="19" s="1"/>
  <c r="B31" i="19"/>
  <c r="D31" i="19" s="1"/>
  <c r="B30" i="19"/>
  <c r="D30" i="19" s="1"/>
  <c r="B8" i="19"/>
  <c r="D8" i="19" s="1"/>
  <c r="F91" i="19"/>
  <c r="F90" i="19"/>
  <c r="F89" i="19"/>
  <c r="D53" i="19"/>
  <c r="D52" i="19"/>
  <c r="D51" i="19"/>
  <c r="D50" i="19"/>
  <c r="D48" i="19"/>
  <c r="D45" i="19"/>
  <c r="D44" i="19"/>
  <c r="D42" i="19"/>
  <c r="D40" i="19"/>
  <c r="D33" i="19"/>
  <c r="D29" i="19"/>
  <c r="D23" i="19"/>
  <c r="D22" i="19"/>
  <c r="A58" i="19" s="1"/>
  <c r="D13" i="19"/>
  <c r="B174" i="2" s="1"/>
  <c r="D12" i="19"/>
  <c r="A31" i="16"/>
  <c r="B207" i="2"/>
  <c r="A206" i="2"/>
  <c r="B9" i="2"/>
  <c r="I6" i="8"/>
  <c r="J6" i="8" s="1"/>
  <c r="D41" i="16"/>
  <c r="C46" i="16"/>
  <c r="B139" i="2"/>
  <c r="B142" i="2" s="1"/>
  <c r="B134" i="2"/>
  <c r="B192" i="2"/>
  <c r="B206" i="2"/>
  <c r="B7" i="2"/>
  <c r="I212" i="24" s="1"/>
  <c r="B125" i="2"/>
  <c r="B127" i="2" s="1"/>
  <c r="B169" i="2"/>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E3" i="8"/>
  <c r="A201" i="2"/>
  <c r="B201" i="2"/>
  <c r="I14" i="8"/>
  <c r="B179" i="2"/>
  <c r="I13" i="8"/>
  <c r="J13" i="8" s="1"/>
  <c r="I7" i="8"/>
  <c r="J7" i="8" s="1"/>
  <c r="J14" i="8"/>
  <c r="B107" i="2" l="1"/>
  <c r="BC2" i="24" s="1"/>
  <c r="B118" i="2"/>
  <c r="B76" i="2"/>
  <c r="D76" i="2" s="1"/>
  <c r="F76" i="2"/>
  <c r="C39" i="16"/>
  <c r="M212" i="24"/>
  <c r="N212" i="24" s="1"/>
  <c r="P212" i="24" s="1"/>
  <c r="K212" i="24"/>
  <c r="G11" i="2"/>
  <c r="B61" i="2"/>
  <c r="M2" i="24"/>
  <c r="S5" i="24"/>
  <c r="T5" i="24" s="1"/>
  <c r="D39" i="16"/>
  <c r="K12" i="2"/>
  <c r="K11" i="2"/>
  <c r="BL9" i="25"/>
  <c r="BL69" i="25"/>
  <c r="BL15" i="25"/>
  <c r="BL31" i="25"/>
  <c r="BL47" i="25"/>
  <c r="BL63" i="25"/>
  <c r="BL79" i="25"/>
  <c r="BL29" i="25"/>
  <c r="BL65" i="25"/>
  <c r="BL8" i="25"/>
  <c r="BL24" i="25"/>
  <c r="BL40" i="25"/>
  <c r="BL56" i="25"/>
  <c r="BL72" i="25"/>
  <c r="BL88" i="25"/>
  <c r="BL49" i="25"/>
  <c r="BL6" i="25"/>
  <c r="BL22" i="25"/>
  <c r="BL38" i="25"/>
  <c r="BL54" i="25"/>
  <c r="BL70" i="25"/>
  <c r="BL86" i="25"/>
  <c r="BL102" i="25"/>
  <c r="BL104" i="25"/>
  <c r="BL97" i="25"/>
  <c r="BL105" i="25"/>
  <c r="BL42" i="25"/>
  <c r="BL74" i="25"/>
  <c r="BL92" i="25"/>
  <c r="BL99" i="25"/>
  <c r="BL27" i="25"/>
  <c r="BL75" i="25"/>
  <c r="BL5" i="25"/>
  <c r="BL68" i="25"/>
  <c r="BL85" i="25"/>
  <c r="BL34" i="25"/>
  <c r="BL82" i="25"/>
  <c r="BL95" i="25"/>
  <c r="BL21" i="25"/>
  <c r="BL81" i="25"/>
  <c r="BL19" i="25"/>
  <c r="BL35" i="25"/>
  <c r="BL51" i="25"/>
  <c r="BL67" i="25"/>
  <c r="BL83" i="25"/>
  <c r="BL33" i="25"/>
  <c r="BL77" i="25"/>
  <c r="BL12" i="25"/>
  <c r="BL28" i="25"/>
  <c r="BL44" i="25"/>
  <c r="BL60" i="25"/>
  <c r="BL76" i="25"/>
  <c r="BL13" i="25"/>
  <c r="BL61" i="25"/>
  <c r="BL10" i="25"/>
  <c r="BL26" i="25"/>
  <c r="BL58" i="25"/>
  <c r="BL90" i="25"/>
  <c r="BL91" i="25"/>
  <c r="BL11" i="25"/>
  <c r="BL17" i="25"/>
  <c r="BL36" i="25"/>
  <c r="BL37" i="25"/>
  <c r="BL50" i="25"/>
  <c r="BL96" i="25"/>
  <c r="BL41" i="25"/>
  <c r="BL7" i="25"/>
  <c r="BL23" i="25"/>
  <c r="BL39" i="25"/>
  <c r="BL55" i="25"/>
  <c r="BL71" i="25"/>
  <c r="BL87" i="25"/>
  <c r="BL45" i="25"/>
  <c r="BL89" i="25"/>
  <c r="BL16" i="25"/>
  <c r="BL32" i="25"/>
  <c r="BL48" i="25"/>
  <c r="BL64" i="25"/>
  <c r="BL80" i="25"/>
  <c r="BL25" i="25"/>
  <c r="BL73" i="25"/>
  <c r="BL14" i="25"/>
  <c r="BL30" i="25"/>
  <c r="BL46" i="25"/>
  <c r="BL62" i="25"/>
  <c r="BL78" i="25"/>
  <c r="BL98" i="25"/>
  <c r="BL100" i="25"/>
  <c r="BL93" i="25"/>
  <c r="BL101" i="25"/>
  <c r="BL53" i="25"/>
  <c r="BL43" i="25"/>
  <c r="BL59" i="25"/>
  <c r="BL57" i="25"/>
  <c r="BL20" i="25"/>
  <c r="BL52" i="25"/>
  <c r="BL84" i="25"/>
  <c r="BL18" i="25"/>
  <c r="BL66" i="25"/>
  <c r="BL94" i="25"/>
  <c r="BL103" i="25"/>
  <c r="BR5" i="24"/>
  <c r="B28" i="2"/>
  <c r="R42" i="2"/>
  <c r="J210" i="25"/>
  <c r="J206" i="25"/>
  <c r="J202" i="25"/>
  <c r="J198" i="25"/>
  <c r="J194" i="25"/>
  <c r="J190" i="25"/>
  <c r="J186" i="25"/>
  <c r="J182" i="25"/>
  <c r="J178" i="25"/>
  <c r="J174" i="25"/>
  <c r="J170" i="25"/>
  <c r="J166" i="25"/>
  <c r="J162" i="25"/>
  <c r="J158" i="25"/>
  <c r="J154" i="25"/>
  <c r="J150" i="25"/>
  <c r="J146" i="25"/>
  <c r="J142" i="25"/>
  <c r="J138" i="25"/>
  <c r="J134" i="25"/>
  <c r="J130" i="25"/>
  <c r="J126" i="25"/>
  <c r="J122" i="25"/>
  <c r="J118" i="25"/>
  <c r="J114" i="25"/>
  <c r="J207" i="25"/>
  <c r="J179" i="25"/>
  <c r="J167" i="25"/>
  <c r="J155" i="25"/>
  <c r="J147" i="25"/>
  <c r="J135" i="25"/>
  <c r="J119" i="25"/>
  <c r="J111" i="25"/>
  <c r="J209" i="25"/>
  <c r="J205" i="25"/>
  <c r="J201" i="25"/>
  <c r="J197" i="25"/>
  <c r="J193" i="25"/>
  <c r="J189" i="25"/>
  <c r="J185" i="25"/>
  <c r="J181" i="25"/>
  <c r="J177" i="25"/>
  <c r="J173" i="25"/>
  <c r="J169" i="25"/>
  <c r="J165" i="25"/>
  <c r="J161" i="25"/>
  <c r="J157" i="25"/>
  <c r="J153" i="25"/>
  <c r="J149" i="25"/>
  <c r="J145" i="25"/>
  <c r="J141" i="25"/>
  <c r="J137" i="25"/>
  <c r="J133" i="25"/>
  <c r="J129" i="25"/>
  <c r="J125" i="25"/>
  <c r="J121" i="25"/>
  <c r="J117" i="25"/>
  <c r="J113" i="25"/>
  <c r="J110" i="25"/>
  <c r="BL110" i="25" s="1"/>
  <c r="J203" i="25"/>
  <c r="J195" i="25"/>
  <c r="J191" i="25"/>
  <c r="J187" i="25"/>
  <c r="J175" i="25"/>
  <c r="J159" i="25"/>
  <c r="J139" i="25"/>
  <c r="J127" i="25"/>
  <c r="J208" i="25"/>
  <c r="J204" i="25"/>
  <c r="J200" i="25"/>
  <c r="J196" i="25"/>
  <c r="J192" i="25"/>
  <c r="J188" i="25"/>
  <c r="J184" i="25"/>
  <c r="J180" i="25"/>
  <c r="J176" i="25"/>
  <c r="J172" i="25"/>
  <c r="J168" i="25"/>
  <c r="J164" i="25"/>
  <c r="J160" i="25"/>
  <c r="J156" i="25"/>
  <c r="J152" i="25"/>
  <c r="J148" i="25"/>
  <c r="J144" i="25"/>
  <c r="J140" i="25"/>
  <c r="J136" i="25"/>
  <c r="J132" i="25"/>
  <c r="J128" i="25"/>
  <c r="J124" i="25"/>
  <c r="J120" i="25"/>
  <c r="J116" i="25"/>
  <c r="J112" i="25"/>
  <c r="J199" i="25"/>
  <c r="J183" i="25"/>
  <c r="J171" i="25"/>
  <c r="J163" i="25"/>
  <c r="J151" i="25"/>
  <c r="J143" i="25"/>
  <c r="J131" i="25"/>
  <c r="J123" i="25"/>
  <c r="J115" i="25"/>
  <c r="B14" i="2"/>
  <c r="H110" i="25"/>
  <c r="H5" i="25"/>
  <c r="H218" i="25"/>
  <c r="L105" i="25"/>
  <c r="L101" i="25"/>
  <c r="L97" i="25"/>
  <c r="L93" i="25"/>
  <c r="N104" i="25"/>
  <c r="N96" i="25"/>
  <c r="N93" i="25"/>
  <c r="N83" i="25"/>
  <c r="N75" i="25"/>
  <c r="N67" i="25"/>
  <c r="N59" i="25"/>
  <c r="N51" i="25"/>
  <c r="N43" i="25"/>
  <c r="L37" i="25"/>
  <c r="N31" i="25"/>
  <c r="N23" i="25"/>
  <c r="N15" i="25"/>
  <c r="L84" i="25"/>
  <c r="L64" i="25"/>
  <c r="L48" i="25"/>
  <c r="L28" i="25"/>
  <c r="L12" i="25"/>
  <c r="L8" i="25"/>
  <c r="N99" i="25"/>
  <c r="N86" i="25"/>
  <c r="N78" i="25"/>
  <c r="N70" i="25"/>
  <c r="N50" i="25"/>
  <c r="N38" i="25"/>
  <c r="N34" i="25"/>
  <c r="N18" i="25"/>
  <c r="N95" i="25"/>
  <c r="L83" i="25"/>
  <c r="L75" i="25"/>
  <c r="L67" i="25"/>
  <c r="L104" i="25"/>
  <c r="L100" i="25"/>
  <c r="L96" i="25"/>
  <c r="L92" i="25"/>
  <c r="N102" i="25"/>
  <c r="N94" i="25"/>
  <c r="L90" i="25"/>
  <c r="L82" i="25"/>
  <c r="L74" i="25"/>
  <c r="L66" i="25"/>
  <c r="L58" i="25"/>
  <c r="L50" i="25"/>
  <c r="L42" i="25"/>
  <c r="L36" i="25"/>
  <c r="L30" i="25"/>
  <c r="L22" i="25"/>
  <c r="L14" i="25"/>
  <c r="N81" i="25"/>
  <c r="L60" i="25"/>
  <c r="N45" i="25"/>
  <c r="N21" i="25"/>
  <c r="L11" i="25"/>
  <c r="L7" i="25"/>
  <c r="N91" i="25"/>
  <c r="L102" i="25"/>
  <c r="L98" i="25"/>
  <c r="L94" i="25"/>
  <c r="N98" i="25"/>
  <c r="N101" i="25"/>
  <c r="L86" i="25"/>
  <c r="L78" i="25"/>
  <c r="L70" i="25"/>
  <c r="L62" i="25"/>
  <c r="L54" i="25"/>
  <c r="L46" i="25"/>
  <c r="L38" i="25"/>
  <c r="L34" i="25"/>
  <c r="L26" i="25"/>
  <c r="L18" i="25"/>
  <c r="N89" i="25"/>
  <c r="N69" i="25"/>
  <c r="L52" i="25"/>
  <c r="N41" i="25"/>
  <c r="N13" i="25"/>
  <c r="L9" i="25"/>
  <c r="L5" i="25"/>
  <c r="L89" i="25"/>
  <c r="L99" i="25"/>
  <c r="N71" i="25"/>
  <c r="N39" i="25"/>
  <c r="N97" i="25"/>
  <c r="L16" i="25"/>
  <c r="L85" i="25"/>
  <c r="N74" i="25"/>
  <c r="L53" i="25"/>
  <c r="N37" i="25"/>
  <c r="N26" i="25"/>
  <c r="L87" i="25"/>
  <c r="N76" i="25"/>
  <c r="N64" i="25"/>
  <c r="N56" i="25"/>
  <c r="N48" i="25"/>
  <c r="N40" i="25"/>
  <c r="N28" i="25"/>
  <c r="N20" i="25"/>
  <c r="N12" i="25"/>
  <c r="N8" i="25"/>
  <c r="N105" i="25"/>
  <c r="N77" i="25"/>
  <c r="N65" i="25"/>
  <c r="N49" i="25"/>
  <c r="N29" i="25"/>
  <c r="N17" i="25"/>
  <c r="L61" i="25"/>
  <c r="L41" i="25"/>
  <c r="L21" i="25"/>
  <c r="N11" i="25"/>
  <c r="L88" i="25"/>
  <c r="N61" i="25"/>
  <c r="N25" i="25"/>
  <c r="N66" i="25"/>
  <c r="L57" i="25"/>
  <c r="L17" i="25"/>
  <c r="L91" i="25"/>
  <c r="N100" i="25"/>
  <c r="N27" i="25"/>
  <c r="N53" i="25"/>
  <c r="L81" i="25"/>
  <c r="N35" i="25"/>
  <c r="N14" i="25"/>
  <c r="N80" i="25"/>
  <c r="N60" i="25"/>
  <c r="N44" i="25"/>
  <c r="N24" i="25"/>
  <c r="N10" i="25"/>
  <c r="N85" i="25"/>
  <c r="N33" i="25"/>
  <c r="L65" i="25"/>
  <c r="L29" i="25"/>
  <c r="L95" i="25"/>
  <c r="N63" i="25"/>
  <c r="L35" i="25"/>
  <c r="L72" i="25"/>
  <c r="L10" i="25"/>
  <c r="N82" i="25"/>
  <c r="L73" i="25"/>
  <c r="N46" i="25"/>
  <c r="N36" i="25"/>
  <c r="N22" i="25"/>
  <c r="N84" i="25"/>
  <c r="N72" i="25"/>
  <c r="L63" i="25"/>
  <c r="L55" i="25"/>
  <c r="L47" i="25"/>
  <c r="L39" i="25"/>
  <c r="L27" i="25"/>
  <c r="L19" i="25"/>
  <c r="N7" i="25"/>
  <c r="L76" i="25"/>
  <c r="L40" i="25"/>
  <c r="L33" i="25"/>
  <c r="N87" i="25"/>
  <c r="L6" i="25"/>
  <c r="L45" i="25"/>
  <c r="N103" i="25"/>
  <c r="N52" i="25"/>
  <c r="N16" i="25"/>
  <c r="N73" i="25"/>
  <c r="L24" i="25"/>
  <c r="L13" i="25"/>
  <c r="L103" i="25"/>
  <c r="N92" i="25"/>
  <c r="N79" i="25"/>
  <c r="N47" i="25"/>
  <c r="N19" i="25"/>
  <c r="L44" i="25"/>
  <c r="N90" i="25"/>
  <c r="L77" i="25"/>
  <c r="N58" i="25"/>
  <c r="N42" i="25"/>
  <c r="N30" i="25"/>
  <c r="N88" i="25"/>
  <c r="L79" i="25"/>
  <c r="N68" i="25"/>
  <c r="L59" i="25"/>
  <c r="L51" i="25"/>
  <c r="L43" i="25"/>
  <c r="L31" i="25"/>
  <c r="L23" i="25"/>
  <c r="L15" i="25"/>
  <c r="N9" i="25"/>
  <c r="N5" i="25"/>
  <c r="AW5" i="25" s="1"/>
  <c r="L80" i="25"/>
  <c r="L68" i="25"/>
  <c r="L56" i="25"/>
  <c r="L32" i="25"/>
  <c r="L20" i="25"/>
  <c r="N62" i="25"/>
  <c r="L49" i="25"/>
  <c r="L25" i="25"/>
  <c r="N55" i="25"/>
  <c r="L69" i="25"/>
  <c r="L71" i="25"/>
  <c r="N32" i="25"/>
  <c r="N6" i="25"/>
  <c r="N57" i="25"/>
  <c r="N54" i="25"/>
  <c r="J315" i="25"/>
  <c r="J311" i="25"/>
  <c r="J307" i="25"/>
  <c r="J303" i="25"/>
  <c r="J299" i="25"/>
  <c r="J295" i="25"/>
  <c r="J291" i="25"/>
  <c r="J287" i="25"/>
  <c r="J283" i="25"/>
  <c r="J279" i="25"/>
  <c r="J275" i="25"/>
  <c r="J271" i="25"/>
  <c r="J267" i="25"/>
  <c r="J263" i="25"/>
  <c r="J259" i="25"/>
  <c r="J255" i="25"/>
  <c r="J251" i="25"/>
  <c r="J247" i="25"/>
  <c r="J243" i="25"/>
  <c r="J239" i="25"/>
  <c r="J235" i="25"/>
  <c r="J231" i="25"/>
  <c r="J227" i="25"/>
  <c r="J223" i="25"/>
  <c r="J219" i="25"/>
  <c r="J318" i="25"/>
  <c r="J314" i="25"/>
  <c r="J310" i="25"/>
  <c r="J306" i="25"/>
  <c r="J302" i="25"/>
  <c r="J298" i="25"/>
  <c r="J294" i="25"/>
  <c r="J290" i="25"/>
  <c r="J286" i="25"/>
  <c r="J282" i="25"/>
  <c r="J278" i="25"/>
  <c r="J274" i="25"/>
  <c r="J270" i="25"/>
  <c r="J266" i="25"/>
  <c r="J262" i="25"/>
  <c r="J258" i="25"/>
  <c r="J254" i="25"/>
  <c r="J250" i="25"/>
  <c r="J246" i="25"/>
  <c r="J242" i="25"/>
  <c r="J238" i="25"/>
  <c r="J234" i="25"/>
  <c r="J230" i="25"/>
  <c r="J226" i="25"/>
  <c r="J222" i="25"/>
  <c r="J317" i="25"/>
  <c r="J313" i="25"/>
  <c r="J309" i="25"/>
  <c r="J305" i="25"/>
  <c r="J301" i="25"/>
  <c r="J297" i="25"/>
  <c r="J293" i="25"/>
  <c r="J289" i="25"/>
  <c r="J285" i="25"/>
  <c r="J281" i="25"/>
  <c r="J277" i="25"/>
  <c r="J273" i="25"/>
  <c r="J269" i="25"/>
  <c r="J265" i="25"/>
  <c r="J261" i="25"/>
  <c r="J257" i="25"/>
  <c r="J253" i="25"/>
  <c r="J249" i="25"/>
  <c r="J245" i="25"/>
  <c r="J241" i="25"/>
  <c r="J237" i="25"/>
  <c r="J233" i="25"/>
  <c r="J229" i="25"/>
  <c r="J225" i="25"/>
  <c r="J221" i="25"/>
  <c r="J218" i="25"/>
  <c r="J316" i="25"/>
  <c r="J312" i="25"/>
  <c r="J308" i="25"/>
  <c r="J304" i="25"/>
  <c r="J300" i="25"/>
  <c r="J296" i="25"/>
  <c r="J292" i="25"/>
  <c r="J288" i="25"/>
  <c r="J284" i="25"/>
  <c r="J268" i="25"/>
  <c r="J252" i="25"/>
  <c r="J236" i="25"/>
  <c r="J220" i="25"/>
  <c r="J280" i="25"/>
  <c r="J264" i="25"/>
  <c r="J248" i="25"/>
  <c r="J232" i="25"/>
  <c r="J276" i="25"/>
  <c r="J260" i="25"/>
  <c r="J244" i="25"/>
  <c r="J228" i="25"/>
  <c r="J272" i="25"/>
  <c r="J256" i="25"/>
  <c r="J240" i="25"/>
  <c r="J224" i="25"/>
  <c r="B63" i="2"/>
  <c r="B62" i="2"/>
  <c r="B154" i="2"/>
  <c r="E26" i="1" s="1"/>
  <c r="BM105" i="24"/>
  <c r="BM65" i="24"/>
  <c r="BM25" i="24"/>
  <c r="BM100" i="24"/>
  <c r="BM84" i="24"/>
  <c r="BM68" i="24"/>
  <c r="BM52" i="24"/>
  <c r="BM36" i="24"/>
  <c r="BM20" i="24"/>
  <c r="BM97" i="24"/>
  <c r="BM37" i="24"/>
  <c r="BM95" i="24"/>
  <c r="BM79" i="24"/>
  <c r="BM63" i="24"/>
  <c r="BM47" i="24"/>
  <c r="BM31" i="24"/>
  <c r="BM15" i="24"/>
  <c r="BM89" i="24"/>
  <c r="BM45" i="24"/>
  <c r="BM98" i="24"/>
  <c r="BM82" i="24"/>
  <c r="BM66" i="24"/>
  <c r="BM50" i="24"/>
  <c r="BM34" i="24"/>
  <c r="BM18" i="24"/>
  <c r="BM78" i="24"/>
  <c r="BM46" i="24"/>
  <c r="BM30" i="24"/>
  <c r="BM83" i="24"/>
  <c r="BM19" i="24"/>
  <c r="BM102" i="24"/>
  <c r="BM70" i="24"/>
  <c r="BM22" i="24"/>
  <c r="BM93" i="24"/>
  <c r="BM49" i="24"/>
  <c r="BM13" i="24"/>
  <c r="BM96" i="24"/>
  <c r="BM80" i="24"/>
  <c r="BM64" i="24"/>
  <c r="BM48" i="24"/>
  <c r="BM32" i="24"/>
  <c r="BM16" i="24"/>
  <c r="BM81" i="24"/>
  <c r="BM21" i="24"/>
  <c r="BM91" i="24"/>
  <c r="BM75" i="24"/>
  <c r="BM59" i="24"/>
  <c r="BM43" i="24"/>
  <c r="BM27" i="24"/>
  <c r="BM11" i="24"/>
  <c r="BM77" i="24"/>
  <c r="BM33" i="24"/>
  <c r="BM94" i="24"/>
  <c r="BM62" i="24"/>
  <c r="BM14" i="24"/>
  <c r="BM51" i="24"/>
  <c r="BM53" i="24"/>
  <c r="BM54" i="24"/>
  <c r="BM85" i="24"/>
  <c r="BM41" i="24"/>
  <c r="BM9" i="24"/>
  <c r="BM92" i="24"/>
  <c r="BM76" i="24"/>
  <c r="BM60" i="24"/>
  <c r="BM44" i="24"/>
  <c r="BM28" i="24"/>
  <c r="BM12" i="24"/>
  <c r="BM69" i="24"/>
  <c r="BM103" i="24"/>
  <c r="BM87" i="24"/>
  <c r="BM71" i="24"/>
  <c r="BM55" i="24"/>
  <c r="BM39" i="24"/>
  <c r="BM23" i="24"/>
  <c r="BM7" i="24"/>
  <c r="BM61" i="24"/>
  <c r="BM17" i="24"/>
  <c r="BM90" i="24"/>
  <c r="BM74" i="24"/>
  <c r="BM58" i="24"/>
  <c r="BM42" i="24"/>
  <c r="BM26" i="24"/>
  <c r="BM10" i="24"/>
  <c r="BM73" i="24"/>
  <c r="BM29" i="24"/>
  <c r="BM104" i="24"/>
  <c r="BM88" i="24"/>
  <c r="BM72" i="24"/>
  <c r="BM56" i="24"/>
  <c r="BM40" i="24"/>
  <c r="BM24" i="24"/>
  <c r="BM8" i="24"/>
  <c r="BM57" i="24"/>
  <c r="BM99" i="24"/>
  <c r="BM67" i="24"/>
  <c r="BM35" i="24"/>
  <c r="BM101" i="24"/>
  <c r="BM86" i="24"/>
  <c r="BM38" i="24"/>
  <c r="BM6" i="24"/>
  <c r="B175" i="2"/>
  <c r="BM5" i="24"/>
  <c r="B171" i="2"/>
  <c r="B30" i="2"/>
  <c r="I113" i="24"/>
  <c r="I117" i="24"/>
  <c r="I121" i="24"/>
  <c r="I125" i="24"/>
  <c r="I129" i="24"/>
  <c r="I133" i="24"/>
  <c r="I137" i="24"/>
  <c r="I141" i="24"/>
  <c r="I145" i="24"/>
  <c r="I149" i="24"/>
  <c r="I153" i="24"/>
  <c r="I157" i="24"/>
  <c r="I161" i="24"/>
  <c r="I165" i="24"/>
  <c r="I169" i="24"/>
  <c r="I173" i="24"/>
  <c r="I177" i="24"/>
  <c r="I181" i="24"/>
  <c r="I185" i="24"/>
  <c r="I189" i="24"/>
  <c r="I193" i="24"/>
  <c r="I197" i="24"/>
  <c r="I201" i="24"/>
  <c r="I205" i="24"/>
  <c r="I209" i="24"/>
  <c r="I114" i="24"/>
  <c r="I118" i="24"/>
  <c r="I122" i="24"/>
  <c r="I126" i="24"/>
  <c r="I130" i="24"/>
  <c r="I134" i="24"/>
  <c r="I138" i="24"/>
  <c r="I116" i="24"/>
  <c r="I124" i="24"/>
  <c r="I132" i="24"/>
  <c r="I140" i="24"/>
  <c r="I146" i="24"/>
  <c r="I151" i="24"/>
  <c r="I156" i="24"/>
  <c r="I162" i="24"/>
  <c r="I167" i="24"/>
  <c r="I172" i="24"/>
  <c r="I178" i="24"/>
  <c r="I183" i="24"/>
  <c r="I188" i="24"/>
  <c r="I194" i="24"/>
  <c r="I199" i="24"/>
  <c r="I204" i="24"/>
  <c r="I210" i="24"/>
  <c r="I111" i="24"/>
  <c r="I119" i="24"/>
  <c r="I127" i="24"/>
  <c r="I135" i="24"/>
  <c r="I142" i="24"/>
  <c r="I147" i="24"/>
  <c r="I152" i="24"/>
  <c r="I158" i="24"/>
  <c r="I163" i="24"/>
  <c r="I168" i="24"/>
  <c r="I174" i="24"/>
  <c r="I179" i="24"/>
  <c r="I184" i="24"/>
  <c r="I190" i="24"/>
  <c r="I195" i="24"/>
  <c r="I200" i="24"/>
  <c r="I206" i="24"/>
  <c r="I110" i="24"/>
  <c r="I112" i="24"/>
  <c r="I120" i="24"/>
  <c r="I128" i="24"/>
  <c r="I136" i="24"/>
  <c r="I143" i="24"/>
  <c r="I148" i="24"/>
  <c r="I154" i="24"/>
  <c r="I159" i="24"/>
  <c r="I164" i="24"/>
  <c r="I170" i="24"/>
  <c r="I175" i="24"/>
  <c r="I180" i="24"/>
  <c r="I186" i="24"/>
  <c r="I191" i="24"/>
  <c r="I196" i="24"/>
  <c r="I202" i="24"/>
  <c r="I207" i="24"/>
  <c r="I115" i="24"/>
  <c r="I123" i="24"/>
  <c r="I131" i="24"/>
  <c r="I139" i="24"/>
  <c r="I144" i="24"/>
  <c r="I150" i="24"/>
  <c r="I155" i="24"/>
  <c r="I160" i="24"/>
  <c r="I166" i="24"/>
  <c r="I171" i="24"/>
  <c r="I176" i="24"/>
  <c r="I182" i="24"/>
  <c r="I187" i="24"/>
  <c r="I192" i="24"/>
  <c r="I198" i="24"/>
  <c r="I203" i="24"/>
  <c r="I208" i="24"/>
  <c r="H217" i="24"/>
  <c r="H110" i="24"/>
  <c r="I218" i="24"/>
  <c r="I222" i="24"/>
  <c r="I226" i="24"/>
  <c r="I230" i="24"/>
  <c r="I234" i="24"/>
  <c r="I238" i="24"/>
  <c r="I242" i="24"/>
  <c r="I246" i="24"/>
  <c r="I250" i="24"/>
  <c r="I254" i="24"/>
  <c r="I258" i="24"/>
  <c r="I262" i="24"/>
  <c r="I266" i="24"/>
  <c r="I270" i="24"/>
  <c r="I274" i="24"/>
  <c r="I278" i="24"/>
  <c r="I282" i="24"/>
  <c r="I286" i="24"/>
  <c r="I290" i="24"/>
  <c r="I294" i="24"/>
  <c r="I298" i="24"/>
  <c r="I302" i="24"/>
  <c r="I306" i="24"/>
  <c r="I310" i="24"/>
  <c r="I314" i="24"/>
  <c r="I217" i="24"/>
  <c r="I220" i="24"/>
  <c r="I236" i="24"/>
  <c r="I244" i="24"/>
  <c r="I252" i="24"/>
  <c r="I260" i="24"/>
  <c r="I268" i="24"/>
  <c r="I276" i="24"/>
  <c r="I284" i="24"/>
  <c r="I292" i="24"/>
  <c r="I300" i="24"/>
  <c r="I304" i="24"/>
  <c r="I312" i="24"/>
  <c r="I225" i="24"/>
  <c r="I233" i="24"/>
  <c r="I241" i="24"/>
  <c r="I249" i="24"/>
  <c r="I257" i="24"/>
  <c r="I265" i="24"/>
  <c r="I273" i="24"/>
  <c r="I281" i="24"/>
  <c r="I289" i="24"/>
  <c r="I297" i="24"/>
  <c r="I301" i="24"/>
  <c r="I309" i="24"/>
  <c r="I219" i="24"/>
  <c r="I223" i="24"/>
  <c r="I227" i="24"/>
  <c r="I231" i="24"/>
  <c r="I235" i="24"/>
  <c r="I239" i="24"/>
  <c r="I243" i="24"/>
  <c r="I247" i="24"/>
  <c r="I251" i="24"/>
  <c r="I255" i="24"/>
  <c r="I259" i="24"/>
  <c r="I263" i="24"/>
  <c r="I267" i="24"/>
  <c r="I271" i="24"/>
  <c r="I275" i="24"/>
  <c r="I279" i="24"/>
  <c r="I283" i="24"/>
  <c r="I287" i="24"/>
  <c r="I291" i="24"/>
  <c r="I295" i="24"/>
  <c r="I299" i="24"/>
  <c r="I303" i="24"/>
  <c r="I307" i="24"/>
  <c r="I311" i="24"/>
  <c r="I315" i="24"/>
  <c r="I224" i="24"/>
  <c r="I228" i="24"/>
  <c r="I232" i="24"/>
  <c r="I240" i="24"/>
  <c r="I248" i="24"/>
  <c r="I256" i="24"/>
  <c r="I264" i="24"/>
  <c r="I272" i="24"/>
  <c r="I280" i="24"/>
  <c r="I288" i="24"/>
  <c r="I296" i="24"/>
  <c r="I308" i="24"/>
  <c r="I316" i="24"/>
  <c r="I221" i="24"/>
  <c r="I229" i="24"/>
  <c r="I237" i="24"/>
  <c r="I245" i="24"/>
  <c r="I253" i="24"/>
  <c r="I261" i="24"/>
  <c r="I269" i="24"/>
  <c r="I277" i="24"/>
  <c r="I285" i="24"/>
  <c r="I293" i="24"/>
  <c r="I305" i="24"/>
  <c r="I313" i="24"/>
  <c r="I317" i="24"/>
  <c r="E15" i="23"/>
  <c r="R15" i="23" s="1"/>
  <c r="E23" i="23"/>
  <c r="R23" i="23" s="1"/>
  <c r="E31" i="23"/>
  <c r="R31" i="23" s="1"/>
  <c r="E39" i="23"/>
  <c r="R39" i="23" s="1"/>
  <c r="E47" i="23"/>
  <c r="R47" i="23" s="1"/>
  <c r="E55" i="23"/>
  <c r="R55" i="23" s="1"/>
  <c r="E63" i="23"/>
  <c r="R63" i="23" s="1"/>
  <c r="E71" i="23"/>
  <c r="R71" i="23" s="1"/>
  <c r="E79" i="23"/>
  <c r="R79" i="23" s="1"/>
  <c r="E87" i="23"/>
  <c r="R87" i="23" s="1"/>
  <c r="E95" i="23"/>
  <c r="R95" i="23" s="1"/>
  <c r="E103" i="23"/>
  <c r="R103" i="23" s="1"/>
  <c r="E20" i="23"/>
  <c r="R20" i="23" s="1"/>
  <c r="E44" i="23"/>
  <c r="R44" i="23" s="1"/>
  <c r="E68" i="23"/>
  <c r="R68" i="23" s="1"/>
  <c r="E84" i="23"/>
  <c r="R84" i="23" s="1"/>
  <c r="E7" i="23"/>
  <c r="R7" i="23" s="1"/>
  <c r="E16" i="23"/>
  <c r="R16" i="23" s="1"/>
  <c r="E24" i="23"/>
  <c r="R24" i="23" s="1"/>
  <c r="E32" i="23"/>
  <c r="R32" i="23" s="1"/>
  <c r="E40" i="23"/>
  <c r="R40" i="23" s="1"/>
  <c r="E48" i="23"/>
  <c r="R48" i="23" s="1"/>
  <c r="E56" i="23"/>
  <c r="R56" i="23" s="1"/>
  <c r="E64" i="23"/>
  <c r="R64" i="23" s="1"/>
  <c r="E72" i="23"/>
  <c r="R72" i="23" s="1"/>
  <c r="E80" i="23"/>
  <c r="R80" i="23" s="1"/>
  <c r="E88" i="23"/>
  <c r="R88" i="23" s="1"/>
  <c r="E96" i="23"/>
  <c r="R96" i="23" s="1"/>
  <c r="E104" i="23"/>
  <c r="R104" i="23" s="1"/>
  <c r="E28" i="23"/>
  <c r="R28" i="23" s="1"/>
  <c r="E60" i="23"/>
  <c r="R60" i="23" s="1"/>
  <c r="E92" i="23"/>
  <c r="R92" i="23" s="1"/>
  <c r="E11" i="23"/>
  <c r="R11" i="23" s="1"/>
  <c r="E19" i="23"/>
  <c r="R19" i="23" s="1"/>
  <c r="E27" i="23"/>
  <c r="R27" i="23" s="1"/>
  <c r="E35" i="23"/>
  <c r="R35" i="23" s="1"/>
  <c r="E43" i="23"/>
  <c r="R43" i="23" s="1"/>
  <c r="E51" i="23"/>
  <c r="R51" i="23" s="1"/>
  <c r="E59" i="23"/>
  <c r="R59" i="23" s="1"/>
  <c r="E67" i="23"/>
  <c r="R67" i="23" s="1"/>
  <c r="E75" i="23"/>
  <c r="R75" i="23" s="1"/>
  <c r="E83" i="23"/>
  <c r="R83" i="23" s="1"/>
  <c r="E91" i="23"/>
  <c r="R91" i="23" s="1"/>
  <c r="E99" i="23"/>
  <c r="R99" i="23" s="1"/>
  <c r="E6" i="23"/>
  <c r="R6" i="23" s="1"/>
  <c r="E12" i="23"/>
  <c r="R12" i="23" s="1"/>
  <c r="E36" i="23"/>
  <c r="R36" i="23" s="1"/>
  <c r="E52" i="23"/>
  <c r="R52" i="23" s="1"/>
  <c r="E76" i="23"/>
  <c r="R76" i="23" s="1"/>
  <c r="E100" i="23"/>
  <c r="R100" i="23" s="1"/>
  <c r="K16" i="24"/>
  <c r="M58" i="24"/>
  <c r="BA58" i="24" s="1"/>
  <c r="M42" i="24"/>
  <c r="BA42" i="24" s="1"/>
  <c r="M26" i="24"/>
  <c r="BA26" i="24" s="1"/>
  <c r="K10" i="24"/>
  <c r="K45" i="24"/>
  <c r="K29" i="24"/>
  <c r="M7" i="24"/>
  <c r="BA7" i="24" s="1"/>
  <c r="M54" i="24"/>
  <c r="BA54" i="24" s="1"/>
  <c r="M38" i="24"/>
  <c r="BA38" i="24" s="1"/>
  <c r="K22" i="24"/>
  <c r="M6" i="24"/>
  <c r="BA6" i="24" s="1"/>
  <c r="K57" i="24"/>
  <c r="K41" i="24"/>
  <c r="K25" i="24"/>
  <c r="K20" i="24"/>
  <c r="M34" i="24"/>
  <c r="BA34" i="24" s="1"/>
  <c r="K12" i="24"/>
  <c r="K53" i="24"/>
  <c r="E94" i="23"/>
  <c r="R94" i="23" s="1"/>
  <c r="E78" i="23"/>
  <c r="R78" i="23" s="1"/>
  <c r="E62" i="23"/>
  <c r="R62" i="23" s="1"/>
  <c r="E46" i="23"/>
  <c r="R46" i="23" s="1"/>
  <c r="E30" i="23"/>
  <c r="R30" i="23" s="1"/>
  <c r="E14" i="23"/>
  <c r="R14" i="23" s="1"/>
  <c r="M103" i="24"/>
  <c r="BA103" i="24" s="1"/>
  <c r="K98" i="24"/>
  <c r="M87" i="24"/>
  <c r="BA87" i="24" s="1"/>
  <c r="K82" i="24"/>
  <c r="M96" i="24"/>
  <c r="BA96" i="24" s="1"/>
  <c r="K91" i="24"/>
  <c r="K81" i="24"/>
  <c r="K101" i="24"/>
  <c r="K93" i="24"/>
  <c r="K85" i="24"/>
  <c r="M94" i="24"/>
  <c r="BA94" i="24" s="1"/>
  <c r="M85" i="24"/>
  <c r="BA85" i="24" s="1"/>
  <c r="K75" i="24"/>
  <c r="K70" i="24"/>
  <c r="M80" i="24"/>
  <c r="BA80" i="24" s="1"/>
  <c r="K67" i="24"/>
  <c r="M89" i="24"/>
  <c r="BA89" i="24" s="1"/>
  <c r="K69" i="24"/>
  <c r="K61" i="24"/>
  <c r="M55" i="24"/>
  <c r="BA55" i="24" s="1"/>
  <c r="K50" i="24"/>
  <c r="M5" i="24"/>
  <c r="BB5" i="24" s="1"/>
  <c r="M30" i="24"/>
  <c r="BA30" i="24" s="1"/>
  <c r="K49" i="24"/>
  <c r="E106" i="23"/>
  <c r="R106" i="23" s="1"/>
  <c r="E90" i="23"/>
  <c r="R90" i="23" s="1"/>
  <c r="E74" i="23"/>
  <c r="R74" i="23" s="1"/>
  <c r="E58" i="23"/>
  <c r="R58" i="23" s="1"/>
  <c r="E42" i="23"/>
  <c r="R42" i="23" s="1"/>
  <c r="E26" i="23"/>
  <c r="R26" i="23" s="1"/>
  <c r="E9" i="23"/>
  <c r="R9" i="23" s="1"/>
  <c r="K102" i="24"/>
  <c r="M91" i="24"/>
  <c r="BA91" i="24" s="1"/>
  <c r="K86" i="24"/>
  <c r="M100" i="24"/>
  <c r="BA100" i="24" s="1"/>
  <c r="K95" i="24"/>
  <c r="M84" i="24"/>
  <c r="BA84" i="24" s="1"/>
  <c r="M74" i="24"/>
  <c r="BA74" i="24" s="1"/>
  <c r="K100" i="24"/>
  <c r="K92" i="24"/>
  <c r="K84" i="24"/>
  <c r="M75" i="24"/>
  <c r="BA75" i="24" s="1"/>
  <c r="M102" i="24"/>
  <c r="BA102" i="24" s="1"/>
  <c r="M93" i="24"/>
  <c r="BA93" i="24" s="1"/>
  <c r="K80" i="24"/>
  <c r="M73" i="24"/>
  <c r="BA73" i="24" s="1"/>
  <c r="M63" i="24"/>
  <c r="BA63" i="24" s="1"/>
  <c r="M77" i="24"/>
  <c r="BA77" i="24" s="1"/>
  <c r="K71" i="24"/>
  <c r="M105" i="24"/>
  <c r="BA105" i="24" s="1"/>
  <c r="K68" i="24"/>
  <c r="M59" i="24"/>
  <c r="BA59" i="24" s="1"/>
  <c r="K54" i="24"/>
  <c r="M50" i="24"/>
  <c r="BA50" i="24" s="1"/>
  <c r="E102" i="23"/>
  <c r="R102" i="23" s="1"/>
  <c r="E70" i="23"/>
  <c r="R70" i="23" s="1"/>
  <c r="E38" i="23"/>
  <c r="R38" i="23" s="1"/>
  <c r="K8" i="24"/>
  <c r="M95" i="24"/>
  <c r="BA95" i="24" s="1"/>
  <c r="K99" i="24"/>
  <c r="M88" i="24"/>
  <c r="BA88" i="24" s="1"/>
  <c r="M78" i="24"/>
  <c r="BA78" i="24" s="1"/>
  <c r="K97" i="24"/>
  <c r="M79" i="24"/>
  <c r="BA79" i="24" s="1"/>
  <c r="M101" i="24"/>
  <c r="BA101" i="24" s="1"/>
  <c r="K79" i="24"/>
  <c r="M67" i="24"/>
  <c r="BA67" i="24" s="1"/>
  <c r="K58" i="24"/>
  <c r="M47" i="24"/>
  <c r="BA47" i="24" s="1"/>
  <c r="M35" i="24"/>
  <c r="BA35" i="24" s="1"/>
  <c r="K30" i="24"/>
  <c r="K72" i="24"/>
  <c r="M57" i="24"/>
  <c r="BA57" i="24" s="1"/>
  <c r="K52" i="24"/>
  <c r="M41" i="24"/>
  <c r="BA41" i="24" s="1"/>
  <c r="K36" i="24"/>
  <c r="M25" i="24"/>
  <c r="BA25" i="24" s="1"/>
  <c r="K21" i="24"/>
  <c r="M10" i="24"/>
  <c r="BA10" i="24" s="1"/>
  <c r="K23" i="24"/>
  <c r="M12" i="24"/>
  <c r="BA12" i="24" s="1"/>
  <c r="K7" i="24"/>
  <c r="E101" i="23"/>
  <c r="R101" i="23" s="1"/>
  <c r="E85" i="23"/>
  <c r="R85" i="23" s="1"/>
  <c r="E69" i="23"/>
  <c r="R69" i="23" s="1"/>
  <c r="E53" i="23"/>
  <c r="R53" i="23" s="1"/>
  <c r="E37" i="23"/>
  <c r="R37" i="23" s="1"/>
  <c r="E21" i="23"/>
  <c r="R21" i="23" s="1"/>
  <c r="K5" i="24"/>
  <c r="M28" i="24"/>
  <c r="BA28" i="24" s="1"/>
  <c r="M36" i="24"/>
  <c r="BA36" i="24" s="1"/>
  <c r="M44" i="24"/>
  <c r="BA44" i="24" s="1"/>
  <c r="M52" i="24"/>
  <c r="BA52" i="24" s="1"/>
  <c r="M60" i="24"/>
  <c r="BA60" i="24" s="1"/>
  <c r="K18" i="24"/>
  <c r="E86" i="23"/>
  <c r="R86" i="23" s="1"/>
  <c r="E22" i="23"/>
  <c r="R22" i="23" s="1"/>
  <c r="M104" i="24"/>
  <c r="BA104" i="24" s="1"/>
  <c r="K83" i="24"/>
  <c r="K105" i="24"/>
  <c r="K74" i="24"/>
  <c r="M72" i="24"/>
  <c r="BA72" i="24" s="1"/>
  <c r="M64" i="24"/>
  <c r="BA64" i="24" s="1"/>
  <c r="K65" i="24"/>
  <c r="M43" i="24"/>
  <c r="BA43" i="24" s="1"/>
  <c r="K60" i="24"/>
  <c r="M49" i="24"/>
  <c r="BA49" i="24" s="1"/>
  <c r="K28" i="24"/>
  <c r="M62" i="24"/>
  <c r="BA62" i="24" s="1"/>
  <c r="K13" i="24"/>
  <c r="M20" i="24"/>
  <c r="BA20" i="24" s="1"/>
  <c r="E93" i="23"/>
  <c r="R93" i="23" s="1"/>
  <c r="E77" i="23"/>
  <c r="R77" i="23" s="1"/>
  <c r="E45" i="23"/>
  <c r="R45" i="23" s="1"/>
  <c r="E13" i="23"/>
  <c r="R13" i="23" s="1"/>
  <c r="M24" i="24"/>
  <c r="BA24" i="24" s="1"/>
  <c r="M40" i="24"/>
  <c r="BA40" i="24" s="1"/>
  <c r="M56" i="24"/>
  <c r="BA56" i="24" s="1"/>
  <c r="K14" i="24"/>
  <c r="E82" i="23"/>
  <c r="R82" i="23" s="1"/>
  <c r="E50" i="23"/>
  <c r="R50" i="23" s="1"/>
  <c r="M92" i="24"/>
  <c r="BA92" i="24" s="1"/>
  <c r="K104" i="24"/>
  <c r="M86" i="24"/>
  <c r="BA86" i="24" s="1"/>
  <c r="K64" i="24"/>
  <c r="K42" i="24"/>
  <c r="K26" i="24"/>
  <c r="M53" i="24"/>
  <c r="BA53" i="24" s="1"/>
  <c r="M37" i="24"/>
  <c r="BA37" i="24" s="1"/>
  <c r="K17" i="24"/>
  <c r="M66" i="24"/>
  <c r="BA66" i="24" s="1"/>
  <c r="M8" i="24"/>
  <c r="BA8" i="24" s="1"/>
  <c r="E89" i="23"/>
  <c r="R89" i="23" s="1"/>
  <c r="E57" i="23"/>
  <c r="R57" i="23" s="1"/>
  <c r="E25" i="23"/>
  <c r="R25" i="23" s="1"/>
  <c r="M9" i="24"/>
  <c r="BA9" i="24" s="1"/>
  <c r="M17" i="24"/>
  <c r="BA17" i="24" s="1"/>
  <c r="K27" i="24"/>
  <c r="K43" i="24"/>
  <c r="M69" i="24"/>
  <c r="BA69" i="24" s="1"/>
  <c r="M46" i="24"/>
  <c r="BA46" i="24" s="1"/>
  <c r="E98" i="23"/>
  <c r="R98" i="23" s="1"/>
  <c r="E66" i="23"/>
  <c r="R66" i="23" s="1"/>
  <c r="E34" i="23"/>
  <c r="R34" i="23" s="1"/>
  <c r="K94" i="24"/>
  <c r="M83" i="24"/>
  <c r="BA83" i="24" s="1"/>
  <c r="K87" i="24"/>
  <c r="K77" i="24"/>
  <c r="K96" i="24"/>
  <c r="K78" i="24"/>
  <c r="K76" i="24"/>
  <c r="K66" i="24"/>
  <c r="M81" i="24"/>
  <c r="BA81" i="24" s="1"/>
  <c r="M68" i="24"/>
  <c r="BA68" i="24" s="1"/>
  <c r="M98" i="24"/>
  <c r="BA98" i="24" s="1"/>
  <c r="K73" i="24"/>
  <c r="K46" i="24"/>
  <c r="M39" i="24"/>
  <c r="BA39" i="24" s="1"/>
  <c r="K34" i="24"/>
  <c r="M97" i="24"/>
  <c r="BA97" i="24" s="1"/>
  <c r="K56" i="24"/>
  <c r="M45" i="24"/>
  <c r="BA45" i="24" s="1"/>
  <c r="K40" i="24"/>
  <c r="M29" i="24"/>
  <c r="BA29" i="24" s="1"/>
  <c r="K24" i="24"/>
  <c r="M70" i="24"/>
  <c r="BA70" i="24" s="1"/>
  <c r="M14" i="24"/>
  <c r="BA14" i="24" s="1"/>
  <c r="K9" i="24"/>
  <c r="M16" i="24"/>
  <c r="BA16" i="24" s="1"/>
  <c r="K11" i="24"/>
  <c r="E97" i="23"/>
  <c r="R97" i="23" s="1"/>
  <c r="E81" i="23"/>
  <c r="R81" i="23" s="1"/>
  <c r="E65" i="23"/>
  <c r="R65" i="23" s="1"/>
  <c r="E49" i="23"/>
  <c r="R49" i="23" s="1"/>
  <c r="E33" i="23"/>
  <c r="R33" i="23" s="1"/>
  <c r="E17" i="23"/>
  <c r="R17" i="23" s="1"/>
  <c r="K6" i="24"/>
  <c r="M11" i="24"/>
  <c r="BA11" i="24" s="1"/>
  <c r="M15" i="24"/>
  <c r="BA15" i="24" s="1"/>
  <c r="M19" i="24"/>
  <c r="BA19" i="24" s="1"/>
  <c r="M23" i="24"/>
  <c r="BA23" i="24" s="1"/>
  <c r="K31" i="24"/>
  <c r="K39" i="24"/>
  <c r="K47" i="24"/>
  <c r="K55" i="24"/>
  <c r="M61" i="24"/>
  <c r="BA61" i="24" s="1"/>
  <c r="K37" i="24"/>
  <c r="E54" i="23"/>
  <c r="R54" i="23" s="1"/>
  <c r="K90" i="24"/>
  <c r="K89" i="24"/>
  <c r="K62" i="24"/>
  <c r="M76" i="24"/>
  <c r="BA76" i="24" s="1"/>
  <c r="M82" i="24"/>
  <c r="BA82" i="24" s="1"/>
  <c r="K38" i="24"/>
  <c r="M27" i="24"/>
  <c r="BA27" i="24" s="1"/>
  <c r="K44" i="24"/>
  <c r="M33" i="24"/>
  <c r="BA33" i="24" s="1"/>
  <c r="M18" i="24"/>
  <c r="BA18" i="24" s="1"/>
  <c r="K15" i="24"/>
  <c r="E10" i="23"/>
  <c r="R10" i="23" s="1"/>
  <c r="E61" i="23"/>
  <c r="R61" i="23" s="1"/>
  <c r="E29" i="23"/>
  <c r="R29" i="23" s="1"/>
  <c r="M32" i="24"/>
  <c r="BA32" i="24" s="1"/>
  <c r="M48" i="24"/>
  <c r="BA48" i="24" s="1"/>
  <c r="M65" i="24"/>
  <c r="BA65" i="24" s="1"/>
  <c r="K33" i="24"/>
  <c r="E18" i="23"/>
  <c r="R18" i="23" s="1"/>
  <c r="M99" i="24"/>
  <c r="BA99" i="24" s="1"/>
  <c r="K103" i="24"/>
  <c r="K88" i="24"/>
  <c r="M71" i="24"/>
  <c r="BA71" i="24" s="1"/>
  <c r="K63" i="24"/>
  <c r="M51" i="24"/>
  <c r="BA51" i="24" s="1"/>
  <c r="M31" i="24"/>
  <c r="BA31" i="24" s="1"/>
  <c r="M90" i="24"/>
  <c r="BA90" i="24" s="1"/>
  <c r="K48" i="24"/>
  <c r="K32" i="24"/>
  <c r="M22" i="24"/>
  <c r="BA22" i="24" s="1"/>
  <c r="K19" i="24"/>
  <c r="E105" i="23"/>
  <c r="R105" i="23" s="1"/>
  <c r="E73" i="23"/>
  <c r="R73" i="23" s="1"/>
  <c r="E41" i="23"/>
  <c r="R41" i="23" s="1"/>
  <c r="E8" i="23"/>
  <c r="R8" i="23" s="1"/>
  <c r="M13" i="24"/>
  <c r="BA13" i="24" s="1"/>
  <c r="M21" i="24"/>
  <c r="BA21" i="24" s="1"/>
  <c r="K35" i="24"/>
  <c r="K51" i="24"/>
  <c r="K59" i="24"/>
  <c r="D9" i="23"/>
  <c r="F9" i="23" s="1"/>
  <c r="D13" i="23"/>
  <c r="I13" i="23" s="1"/>
  <c r="D17" i="23"/>
  <c r="I17" i="23" s="1"/>
  <c r="D21" i="23"/>
  <c r="D25" i="23"/>
  <c r="I25" i="23" s="1"/>
  <c r="D29" i="23"/>
  <c r="D33" i="23"/>
  <c r="F33" i="23" s="1"/>
  <c r="D37" i="23"/>
  <c r="D41" i="23"/>
  <c r="F41" i="23" s="1"/>
  <c r="D45" i="23"/>
  <c r="D49" i="23"/>
  <c r="I49" i="23" s="1"/>
  <c r="D10" i="23"/>
  <c r="I10" i="23" s="1"/>
  <c r="D14" i="23"/>
  <c r="I14" i="23" s="1"/>
  <c r="D18" i="23"/>
  <c r="D22" i="23"/>
  <c r="I22" i="23" s="1"/>
  <c r="D26" i="23"/>
  <c r="D30" i="23"/>
  <c r="I30" i="23" s="1"/>
  <c r="D34" i="23"/>
  <c r="D38" i="23"/>
  <c r="F38" i="23" s="1"/>
  <c r="D42" i="23"/>
  <c r="D46" i="23"/>
  <c r="I46" i="23" s="1"/>
  <c r="D50" i="23"/>
  <c r="D54" i="23"/>
  <c r="I54" i="23" s="1"/>
  <c r="D58" i="23"/>
  <c r="D62" i="23"/>
  <c r="F62" i="23" s="1"/>
  <c r="D66" i="23"/>
  <c r="D70" i="23"/>
  <c r="F70" i="23" s="1"/>
  <c r="D74" i="23"/>
  <c r="D78" i="23"/>
  <c r="F78" i="23" s="1"/>
  <c r="D82" i="23"/>
  <c r="D86" i="23"/>
  <c r="F86" i="23" s="1"/>
  <c r="D90" i="23"/>
  <c r="D94" i="23"/>
  <c r="I94" i="23" s="1"/>
  <c r="D98" i="23"/>
  <c r="F98" i="23" s="1"/>
  <c r="D102" i="23"/>
  <c r="I102" i="23" s="1"/>
  <c r="D106" i="23"/>
  <c r="F106" i="23" s="1"/>
  <c r="D16" i="23"/>
  <c r="F16" i="23" s="1"/>
  <c r="D24" i="23"/>
  <c r="D32" i="23"/>
  <c r="I32" i="23" s="1"/>
  <c r="D40" i="23"/>
  <c r="D48" i="23"/>
  <c r="F48" i="23" s="1"/>
  <c r="D55" i="23"/>
  <c r="D60" i="23"/>
  <c r="I60" i="23" s="1"/>
  <c r="D65" i="23"/>
  <c r="I65" i="23" s="1"/>
  <c r="D71" i="23"/>
  <c r="I71" i="23" s="1"/>
  <c r="D76" i="23"/>
  <c r="F76" i="23" s="1"/>
  <c r="D81" i="23"/>
  <c r="I81" i="23" s="1"/>
  <c r="D87" i="23"/>
  <c r="D92" i="23"/>
  <c r="I92" i="23" s="1"/>
  <c r="D97" i="23"/>
  <c r="D103" i="23"/>
  <c r="I103" i="23" s="1"/>
  <c r="D7" i="23"/>
  <c r="F7" i="23" s="1"/>
  <c r="D23" i="23"/>
  <c r="F23" i="23" s="1"/>
  <c r="D39" i="23"/>
  <c r="F39" i="23" s="1"/>
  <c r="D53" i="23"/>
  <c r="I53" i="23" s="1"/>
  <c r="D64" i="23"/>
  <c r="D75" i="23"/>
  <c r="F75" i="23" s="1"/>
  <c r="D85" i="23"/>
  <c r="D96" i="23"/>
  <c r="F96" i="23" s="1"/>
  <c r="D8" i="23"/>
  <c r="D11" i="23"/>
  <c r="F11" i="23" s="1"/>
  <c r="D19" i="23"/>
  <c r="D27" i="23"/>
  <c r="F27" i="23" s="1"/>
  <c r="D35" i="23"/>
  <c r="D43" i="23"/>
  <c r="F43" i="23" s="1"/>
  <c r="D51" i="23"/>
  <c r="D56" i="23"/>
  <c r="F56" i="23" s="1"/>
  <c r="D61" i="23"/>
  <c r="I61" i="23" s="1"/>
  <c r="D67" i="23"/>
  <c r="I67" i="23" s="1"/>
  <c r="D72" i="23"/>
  <c r="D77" i="23"/>
  <c r="I77" i="23" s="1"/>
  <c r="D83" i="23"/>
  <c r="D88" i="23"/>
  <c r="I88" i="23" s="1"/>
  <c r="D93" i="23"/>
  <c r="D99" i="23"/>
  <c r="F99" i="23" s="1"/>
  <c r="D104" i="23"/>
  <c r="D6" i="23"/>
  <c r="I6" i="23" s="1"/>
  <c r="D12" i="23"/>
  <c r="I12" i="23" s="1"/>
  <c r="D20" i="23"/>
  <c r="I20" i="23" s="1"/>
  <c r="D28" i="23"/>
  <c r="D36" i="23"/>
  <c r="F36" i="23" s="1"/>
  <c r="D44" i="23"/>
  <c r="F44" i="23" s="1"/>
  <c r="D52" i="23"/>
  <c r="I52" i="23" s="1"/>
  <c r="D57" i="23"/>
  <c r="D63" i="23"/>
  <c r="I63" i="23" s="1"/>
  <c r="D68" i="23"/>
  <c r="D73" i="23"/>
  <c r="I73" i="23" s="1"/>
  <c r="D79" i="23"/>
  <c r="F79" i="23" s="1"/>
  <c r="D84" i="23"/>
  <c r="I84" i="23" s="1"/>
  <c r="D89" i="23"/>
  <c r="F89" i="23" s="1"/>
  <c r="D95" i="23"/>
  <c r="I95" i="23" s="1"/>
  <c r="D100" i="23"/>
  <c r="D105" i="23"/>
  <c r="I105" i="23" s="1"/>
  <c r="D15" i="23"/>
  <c r="D31" i="23"/>
  <c r="F31" i="23" s="1"/>
  <c r="D47" i="23"/>
  <c r="D59" i="23"/>
  <c r="F59" i="23" s="1"/>
  <c r="D69" i="23"/>
  <c r="F69" i="23" s="1"/>
  <c r="D80" i="23"/>
  <c r="I80" i="23" s="1"/>
  <c r="D91" i="23"/>
  <c r="D101" i="23"/>
  <c r="I101" i="23" s="1"/>
  <c r="B10" i="19"/>
  <c r="D10" i="19" s="1"/>
  <c r="I16" i="8"/>
  <c r="J16" i="8" s="1"/>
  <c r="D142" i="2" s="1"/>
  <c r="B143" i="2" s="1"/>
  <c r="B180" i="2"/>
  <c r="B183" i="2" s="1"/>
  <c r="D11" i="19"/>
  <c r="I4" i="8" s="1"/>
  <c r="J4" i="8" s="1"/>
  <c r="B198" i="2"/>
  <c r="B3" i="8"/>
  <c r="B159" i="8" s="1"/>
  <c r="B158" i="8" s="1"/>
  <c r="B157" i="8" s="1"/>
  <c r="B156" i="8" s="1"/>
  <c r="B155" i="8" s="1"/>
  <c r="B154" i="8" s="1"/>
  <c r="B153" i="8" s="1"/>
  <c r="B152" i="8" s="1"/>
  <c r="B151" i="8" s="1"/>
  <c r="B150" i="8" s="1"/>
  <c r="B149" i="8" s="1"/>
  <c r="B148" i="8" s="1"/>
  <c r="B147" i="8" s="1"/>
  <c r="B146" i="8" s="1"/>
  <c r="B145" i="8" s="1"/>
  <c r="B144" i="8" s="1"/>
  <c r="B143" i="8" s="1"/>
  <c r="B142" i="8" s="1"/>
  <c r="B141" i="8" s="1"/>
  <c r="B140" i="8" s="1"/>
  <c r="B139" i="8" s="1"/>
  <c r="B138" i="8" s="1"/>
  <c r="B137" i="8" s="1"/>
  <c r="B136" i="8" s="1"/>
  <c r="B135" i="8" s="1"/>
  <c r="B134" i="8" s="1"/>
  <c r="B133" i="8" s="1"/>
  <c r="B132" i="8" s="1"/>
  <c r="B131" i="8" s="1"/>
  <c r="B130" i="8" s="1"/>
  <c r="B129" i="8" s="1"/>
  <c r="B128" i="8" s="1"/>
  <c r="B127" i="8" s="1"/>
  <c r="B126" i="8" s="1"/>
  <c r="B125" i="8" s="1"/>
  <c r="B124" i="8" s="1"/>
  <c r="B123" i="8" s="1"/>
  <c r="B122" i="8" s="1"/>
  <c r="B121" i="8" s="1"/>
  <c r="B120" i="8" s="1"/>
  <c r="B119" i="8" s="1"/>
  <c r="B118" i="8" s="1"/>
  <c r="B117" i="8" s="1"/>
  <c r="B116" i="8" s="1"/>
  <c r="B115" i="8" s="1"/>
  <c r="B114" i="8" s="1"/>
  <c r="B113" i="8" s="1"/>
  <c r="B112" i="8" s="1"/>
  <c r="B111" i="8" s="1"/>
  <c r="B110" i="8" s="1"/>
  <c r="B109" i="8" s="1"/>
  <c r="B108" i="8" s="1"/>
  <c r="B107" i="8" s="1"/>
  <c r="B106" i="8" s="1"/>
  <c r="B105" i="8" s="1"/>
  <c r="B104" i="8" s="1"/>
  <c r="B103" i="8" s="1"/>
  <c r="B102" i="8" s="1"/>
  <c r="B101" i="8" s="1"/>
  <c r="B100" i="8" s="1"/>
  <c r="B99" i="8" s="1"/>
  <c r="B98" i="8" s="1"/>
  <c r="B97" i="8" s="1"/>
  <c r="B96" i="8" s="1"/>
  <c r="B95" i="8" s="1"/>
  <c r="B94" i="8" s="1"/>
  <c r="B93" i="8" s="1"/>
  <c r="B92" i="8" s="1"/>
  <c r="B91" i="8" s="1"/>
  <c r="B90" i="8" s="1"/>
  <c r="B89" i="8" s="1"/>
  <c r="B88" i="8" s="1"/>
  <c r="B87" i="8" s="1"/>
  <c r="B86" i="8" s="1"/>
  <c r="B85" i="8" s="1"/>
  <c r="B84" i="8" s="1"/>
  <c r="B83" i="8" s="1"/>
  <c r="B82" i="8" s="1"/>
  <c r="B81" i="8" s="1"/>
  <c r="B80" i="8" s="1"/>
  <c r="B79" i="8" s="1"/>
  <c r="B78" i="8" s="1"/>
  <c r="B77" i="8" s="1"/>
  <c r="B76" i="8" s="1"/>
  <c r="B75" i="8" s="1"/>
  <c r="B74" i="8" s="1"/>
  <c r="B73" i="8" s="1"/>
  <c r="B72" i="8" s="1"/>
  <c r="B71" i="8" s="1"/>
  <c r="B70" i="8" s="1"/>
  <c r="B69" i="8" s="1"/>
  <c r="B68" i="8" s="1"/>
  <c r="B67" i="8" s="1"/>
  <c r="B66" i="8" s="1"/>
  <c r="B65" i="8" s="1"/>
  <c r="B64" i="8" s="1"/>
  <c r="B63" i="8" s="1"/>
  <c r="B62" i="8" s="1"/>
  <c r="B61" i="8" s="1"/>
  <c r="B60" i="8" s="1"/>
  <c r="B59" i="8" s="1"/>
  <c r="B58" i="8" s="1"/>
  <c r="B57" i="8" s="1"/>
  <c r="B56" i="8" s="1"/>
  <c r="B55" i="8" s="1"/>
  <c r="B54" i="8" s="1"/>
  <c r="B53" i="8" s="1"/>
  <c r="B52" i="8" s="1"/>
  <c r="B51" i="8" s="1"/>
  <c r="B50" i="8" s="1"/>
  <c r="B49" i="8" s="1"/>
  <c r="B48" i="8" s="1"/>
  <c r="B47" i="8" s="1"/>
  <c r="B46" i="8" s="1"/>
  <c r="B45" i="8" s="1"/>
  <c r="B44" i="8" s="1"/>
  <c r="B43" i="8" s="1"/>
  <c r="B42" i="8" s="1"/>
  <c r="B41" i="8" s="1"/>
  <c r="B40" i="8" s="1"/>
  <c r="B39" i="8" s="1"/>
  <c r="B38" i="8" s="1"/>
  <c r="B37" i="8" s="1"/>
  <c r="B36" i="8" s="1"/>
  <c r="B35" i="8" s="1"/>
  <c r="B34" i="8" s="1"/>
  <c r="B33" i="8" s="1"/>
  <c r="B32" i="8" s="1"/>
  <c r="B31" i="8" s="1"/>
  <c r="B30" i="8" s="1"/>
  <c r="B29" i="8" s="1"/>
  <c r="B28" i="8" s="1"/>
  <c r="B27" i="8" s="1"/>
  <c r="B26" i="8" s="1"/>
  <c r="B25" i="8" s="1"/>
  <c r="B24" i="8" s="1"/>
  <c r="B23" i="8" s="1"/>
  <c r="B22" i="8" s="1"/>
  <c r="B21" i="8" s="1"/>
  <c r="B20" i="8" s="1"/>
  <c r="B19" i="8" s="1"/>
  <c r="B18" i="8" s="1"/>
  <c r="B17" i="8" s="1"/>
  <c r="B16" i="8" s="1"/>
  <c r="B15" i="8" s="1"/>
  <c r="B14" i="8" s="1"/>
  <c r="B13" i="8" s="1"/>
  <c r="B12" i="8" s="1"/>
  <c r="B11" i="8" s="1"/>
  <c r="B10" i="8" s="1"/>
  <c r="B9" i="8" s="1"/>
  <c r="B8" i="8" s="1"/>
  <c r="B7" i="8" s="1"/>
  <c r="B6" i="8" s="1"/>
  <c r="B4" i="8" s="1"/>
  <c r="D31" i="16"/>
  <c r="D3" i="8"/>
  <c r="D159" i="8" s="1"/>
  <c r="D158" i="8" s="1"/>
  <c r="D157" i="8" s="1"/>
  <c r="D156" i="8" s="1"/>
  <c r="D155" i="8" s="1"/>
  <c r="D154" i="8" s="1"/>
  <c r="D153" i="8" s="1"/>
  <c r="D152" i="8" s="1"/>
  <c r="D151" i="8" s="1"/>
  <c r="D150" i="8" s="1"/>
  <c r="D149" i="8" s="1"/>
  <c r="D148" i="8" s="1"/>
  <c r="D147" i="8" s="1"/>
  <c r="D146" i="8" s="1"/>
  <c r="D145" i="8" s="1"/>
  <c r="D144" i="8" s="1"/>
  <c r="D143" i="8" s="1"/>
  <c r="D142" i="8" s="1"/>
  <c r="D141" i="8" s="1"/>
  <c r="D140" i="8" s="1"/>
  <c r="D139" i="8" s="1"/>
  <c r="D138" i="8" s="1"/>
  <c r="D137" i="8" s="1"/>
  <c r="D136" i="8" s="1"/>
  <c r="D135" i="8" s="1"/>
  <c r="D134" i="8" s="1"/>
  <c r="D133" i="8" s="1"/>
  <c r="D132" i="8" s="1"/>
  <c r="D131" i="8" s="1"/>
  <c r="D130" i="8" s="1"/>
  <c r="D129" i="8" s="1"/>
  <c r="D128" i="8" s="1"/>
  <c r="D127" i="8" s="1"/>
  <c r="D126" i="8" s="1"/>
  <c r="D125" i="8" s="1"/>
  <c r="D124" i="8" s="1"/>
  <c r="D123" i="8" s="1"/>
  <c r="D122" i="8" s="1"/>
  <c r="D121" i="8" s="1"/>
  <c r="D120" i="8" s="1"/>
  <c r="D119" i="8" s="1"/>
  <c r="D118" i="8" s="1"/>
  <c r="D117" i="8" s="1"/>
  <c r="D116" i="8" s="1"/>
  <c r="D115" i="8" s="1"/>
  <c r="D114" i="8" s="1"/>
  <c r="D113" i="8" s="1"/>
  <c r="D112" i="8" s="1"/>
  <c r="D111" i="8" s="1"/>
  <c r="D110" i="8" s="1"/>
  <c r="D109" i="8" s="1"/>
  <c r="D108" i="8" s="1"/>
  <c r="D107" i="8" s="1"/>
  <c r="D106" i="8" s="1"/>
  <c r="D105" i="8" s="1"/>
  <c r="D104" i="8" s="1"/>
  <c r="D103" i="8" s="1"/>
  <c r="D102" i="8" s="1"/>
  <c r="D101" i="8" s="1"/>
  <c r="D100" i="8" s="1"/>
  <c r="D99" i="8" s="1"/>
  <c r="D98" i="8" s="1"/>
  <c r="D97" i="8" s="1"/>
  <c r="D96" i="8" s="1"/>
  <c r="D95" i="8" s="1"/>
  <c r="D94" i="8" s="1"/>
  <c r="D93" i="8" s="1"/>
  <c r="D92" i="8" s="1"/>
  <c r="D91" i="8" s="1"/>
  <c r="D90" i="8" s="1"/>
  <c r="D89" i="8" s="1"/>
  <c r="D88" i="8" s="1"/>
  <c r="D87" i="8" s="1"/>
  <c r="D86" i="8" s="1"/>
  <c r="D85" i="8" s="1"/>
  <c r="D84" i="8" s="1"/>
  <c r="D83" i="8" s="1"/>
  <c r="D82" i="8" s="1"/>
  <c r="D81" i="8" s="1"/>
  <c r="D80" i="8" s="1"/>
  <c r="D79" i="8" s="1"/>
  <c r="D78" i="8" s="1"/>
  <c r="D77" i="8" s="1"/>
  <c r="D76" i="8" s="1"/>
  <c r="D75" i="8" s="1"/>
  <c r="D74" i="8" s="1"/>
  <c r="D73" i="8" s="1"/>
  <c r="D72" i="8" s="1"/>
  <c r="D71" i="8" s="1"/>
  <c r="D70" i="8" s="1"/>
  <c r="D69" i="8" s="1"/>
  <c r="D68" i="8" s="1"/>
  <c r="D67" i="8" s="1"/>
  <c r="D66" i="8" s="1"/>
  <c r="D65" i="8" s="1"/>
  <c r="D64" i="8" s="1"/>
  <c r="D63" i="8" s="1"/>
  <c r="D62" i="8" s="1"/>
  <c r="D61" i="8" s="1"/>
  <c r="D60" i="8" s="1"/>
  <c r="D59" i="8" s="1"/>
  <c r="D58" i="8" s="1"/>
  <c r="D57" i="8" s="1"/>
  <c r="D56" i="8" s="1"/>
  <c r="D55" i="8" s="1"/>
  <c r="D54" i="8" s="1"/>
  <c r="D53" i="8" s="1"/>
  <c r="D52" i="8" s="1"/>
  <c r="D51" i="8" s="1"/>
  <c r="D50" i="8" s="1"/>
  <c r="D49" i="8" s="1"/>
  <c r="D48" i="8" s="1"/>
  <c r="D47" i="8" s="1"/>
  <c r="D46" i="8" s="1"/>
  <c r="D45" i="8" s="1"/>
  <c r="D44" i="8" s="1"/>
  <c r="D43" i="8" s="1"/>
  <c r="D42" i="8" s="1"/>
  <c r="D41" i="8" s="1"/>
  <c r="D40" i="8" s="1"/>
  <c r="D39" i="8" s="1"/>
  <c r="D38" i="8" s="1"/>
  <c r="D37" i="8" s="1"/>
  <c r="D36" i="8" s="1"/>
  <c r="D35" i="8" s="1"/>
  <c r="D34" i="8" s="1"/>
  <c r="D33" i="8" s="1"/>
  <c r="D32" i="8" s="1"/>
  <c r="D31" i="8" s="1"/>
  <c r="D30" i="8" s="1"/>
  <c r="D29" i="8" s="1"/>
  <c r="D28" i="8" s="1"/>
  <c r="D27" i="8" s="1"/>
  <c r="D26" i="8" s="1"/>
  <c r="D25" i="8" s="1"/>
  <c r="D24" i="8" s="1"/>
  <c r="D23" i="8" s="1"/>
  <c r="D22" i="8" s="1"/>
  <c r="D21" i="8" s="1"/>
  <c r="D20" i="8" s="1"/>
  <c r="D19" i="8" s="1"/>
  <c r="D18" i="8" s="1"/>
  <c r="D17" i="8" s="1"/>
  <c r="D16" i="8" s="1"/>
  <c r="D15" i="8" s="1"/>
  <c r="D14" i="8" s="1"/>
  <c r="D13" i="8" s="1"/>
  <c r="D12" i="8" s="1"/>
  <c r="D11" i="8" s="1"/>
  <c r="D10" i="8" s="1"/>
  <c r="D9" i="8" s="1"/>
  <c r="D8" i="8" s="1"/>
  <c r="D7" i="8" s="1"/>
  <c r="D6" i="8" s="1"/>
  <c r="D4" i="8" s="1"/>
  <c r="E159" i="8"/>
  <c r="E158" i="8" s="1"/>
  <c r="E157" i="8" s="1"/>
  <c r="E156" i="8" s="1"/>
  <c r="E155" i="8" s="1"/>
  <c r="E154" i="8" s="1"/>
  <c r="E153" i="8" s="1"/>
  <c r="E152" i="8" s="1"/>
  <c r="E151" i="8" s="1"/>
  <c r="E150" i="8" s="1"/>
  <c r="E149" i="8" s="1"/>
  <c r="E148" i="8" s="1"/>
  <c r="E147" i="8" s="1"/>
  <c r="E146" i="8" s="1"/>
  <c r="E145" i="8" s="1"/>
  <c r="E144" i="8" s="1"/>
  <c r="E143" i="8" s="1"/>
  <c r="E142" i="8" s="1"/>
  <c r="E141" i="8" s="1"/>
  <c r="E140" i="8" s="1"/>
  <c r="E139" i="8" s="1"/>
  <c r="E138" i="8" s="1"/>
  <c r="E137" i="8" s="1"/>
  <c r="E136" i="8" s="1"/>
  <c r="E135" i="8" s="1"/>
  <c r="E134" i="8" s="1"/>
  <c r="E133" i="8" s="1"/>
  <c r="E132" i="8" s="1"/>
  <c r="E131" i="8" s="1"/>
  <c r="E130" i="8" s="1"/>
  <c r="E129" i="8" s="1"/>
  <c r="E128" i="8" s="1"/>
  <c r="E127" i="8" s="1"/>
  <c r="E126" i="8" s="1"/>
  <c r="E125" i="8" s="1"/>
  <c r="E124" i="8" s="1"/>
  <c r="E123" i="8" s="1"/>
  <c r="E122" i="8" s="1"/>
  <c r="E121" i="8" s="1"/>
  <c r="E120" i="8" s="1"/>
  <c r="E119" i="8" s="1"/>
  <c r="E118" i="8" s="1"/>
  <c r="E117" i="8" s="1"/>
  <c r="E116" i="8" s="1"/>
  <c r="E115" i="8" s="1"/>
  <c r="E114" i="8" s="1"/>
  <c r="E113" i="8" s="1"/>
  <c r="E112" i="8" s="1"/>
  <c r="E111" i="8" s="1"/>
  <c r="E110" i="8" s="1"/>
  <c r="E109" i="8" s="1"/>
  <c r="E108" i="8" s="1"/>
  <c r="E107" i="8" s="1"/>
  <c r="E106" i="8" s="1"/>
  <c r="E105" i="8" s="1"/>
  <c r="E104" i="8" s="1"/>
  <c r="E103" i="8" s="1"/>
  <c r="E102" i="8" s="1"/>
  <c r="E101" i="8" s="1"/>
  <c r="E100" i="8" s="1"/>
  <c r="E99" i="8" s="1"/>
  <c r="E98" i="8" s="1"/>
  <c r="E97" i="8" s="1"/>
  <c r="E96" i="8" s="1"/>
  <c r="E95" i="8" s="1"/>
  <c r="E94" i="8" s="1"/>
  <c r="E93" i="8" s="1"/>
  <c r="E92" i="8" s="1"/>
  <c r="E91" i="8" s="1"/>
  <c r="E90" i="8" s="1"/>
  <c r="E89" i="8" s="1"/>
  <c r="E88" i="8" s="1"/>
  <c r="E87" i="8" s="1"/>
  <c r="E86" i="8" s="1"/>
  <c r="E85" i="8" s="1"/>
  <c r="E84" i="8" s="1"/>
  <c r="E83" i="8" s="1"/>
  <c r="E82" i="8" s="1"/>
  <c r="E81" i="8" s="1"/>
  <c r="E80" i="8" s="1"/>
  <c r="E79" i="8" s="1"/>
  <c r="E78" i="8" s="1"/>
  <c r="E77" i="8" s="1"/>
  <c r="E76" i="8" s="1"/>
  <c r="E75" i="8" s="1"/>
  <c r="E74" i="8" s="1"/>
  <c r="E73" i="8" s="1"/>
  <c r="E72" i="8" s="1"/>
  <c r="E71" i="8" s="1"/>
  <c r="E70" i="8" s="1"/>
  <c r="E69" i="8" s="1"/>
  <c r="E68" i="8" s="1"/>
  <c r="E67" i="8" s="1"/>
  <c r="E66" i="8" s="1"/>
  <c r="E65" i="8" s="1"/>
  <c r="E64" i="8" s="1"/>
  <c r="E63" i="8" s="1"/>
  <c r="E62" i="8" s="1"/>
  <c r="E61" i="8" s="1"/>
  <c r="E60" i="8" s="1"/>
  <c r="E59" i="8" s="1"/>
  <c r="E58" i="8" s="1"/>
  <c r="E57" i="8" s="1"/>
  <c r="E56" i="8" s="1"/>
  <c r="E55" i="8" s="1"/>
  <c r="E54" i="8" s="1"/>
  <c r="E53" i="8" s="1"/>
  <c r="E52" i="8" s="1"/>
  <c r="E51" i="8" s="1"/>
  <c r="E50" i="8" s="1"/>
  <c r="E49" i="8" s="1"/>
  <c r="E48" i="8" s="1"/>
  <c r="E47" i="8" s="1"/>
  <c r="E46" i="8" s="1"/>
  <c r="E45" i="8" s="1"/>
  <c r="E44" i="8" s="1"/>
  <c r="E43" i="8" s="1"/>
  <c r="E42" i="8" s="1"/>
  <c r="E41" i="8" s="1"/>
  <c r="E40" i="8" s="1"/>
  <c r="E39" i="8" s="1"/>
  <c r="E38" i="8" s="1"/>
  <c r="E37" i="8" s="1"/>
  <c r="E36" i="8" s="1"/>
  <c r="E35" i="8" s="1"/>
  <c r="E34" i="8" s="1"/>
  <c r="E33" i="8" s="1"/>
  <c r="E32" i="8" s="1"/>
  <c r="E31" i="8" s="1"/>
  <c r="E30" i="8" s="1"/>
  <c r="E29" i="8" s="1"/>
  <c r="E28" i="8" s="1"/>
  <c r="E27" i="8" s="1"/>
  <c r="E26" i="8" s="1"/>
  <c r="E25" i="8" s="1"/>
  <c r="E24" i="8" s="1"/>
  <c r="E23" i="8" s="1"/>
  <c r="E22" i="8" s="1"/>
  <c r="E21" i="8" s="1"/>
  <c r="E20" i="8" s="1"/>
  <c r="E19" i="8" s="1"/>
  <c r="E18" i="8" s="1"/>
  <c r="E17" i="8" s="1"/>
  <c r="E16" i="8" s="1"/>
  <c r="E15" i="8" s="1"/>
  <c r="E14" i="8" s="1"/>
  <c r="E13" i="8" s="1"/>
  <c r="E12" i="8" s="1"/>
  <c r="E11" i="8" s="1"/>
  <c r="E10" i="8" s="1"/>
  <c r="E9" i="8" s="1"/>
  <c r="E8" i="8" s="1"/>
  <c r="E7" i="8" s="1"/>
  <c r="E6" i="8" s="1"/>
  <c r="E4" i="8" s="1"/>
  <c r="B199" i="2"/>
  <c r="S53" i="2"/>
  <c r="D33" i="16" s="1"/>
  <c r="B193" i="2"/>
  <c r="I50" i="2"/>
  <c r="C3" i="8"/>
  <c r="C159" i="8" s="1"/>
  <c r="C158" i="8" s="1"/>
  <c r="G35" i="16"/>
  <c r="A193" i="2"/>
  <c r="F27" i="1"/>
  <c r="B9" i="19"/>
  <c r="D9" i="19" s="1"/>
  <c r="B17" i="19"/>
  <c r="D17" i="19" s="1"/>
  <c r="B182" i="2"/>
  <c r="B181" i="2"/>
  <c r="B13" i="2"/>
  <c r="AW76" i="25" l="1"/>
  <c r="AW47" i="25"/>
  <c r="AW53" i="25"/>
  <c r="BM110" i="24"/>
  <c r="L6" i="1"/>
  <c r="AH218" i="25"/>
  <c r="AH5" i="25"/>
  <c r="AH110" i="25"/>
  <c r="AX7" i="25"/>
  <c r="AX6" i="25"/>
  <c r="AX5" i="25"/>
  <c r="N76" i="24"/>
  <c r="N53" i="24"/>
  <c r="N64" i="24"/>
  <c r="N63" i="24"/>
  <c r="N31" i="24"/>
  <c r="N18" i="24"/>
  <c r="N70" i="24"/>
  <c r="N39" i="24"/>
  <c r="N56" i="24"/>
  <c r="N72" i="24"/>
  <c r="N60" i="24"/>
  <c r="N35" i="24"/>
  <c r="N78" i="24"/>
  <c r="N50" i="24"/>
  <c r="N73" i="24"/>
  <c r="N74" i="24"/>
  <c r="N5" i="24"/>
  <c r="Q5" i="24" s="1"/>
  <c r="BA5" i="24"/>
  <c r="T6" i="25"/>
  <c r="N80" i="24"/>
  <c r="N33" i="24"/>
  <c r="N23" i="24"/>
  <c r="N46" i="24"/>
  <c r="N40" i="24"/>
  <c r="N62" i="24"/>
  <c r="N52" i="24"/>
  <c r="N25" i="24"/>
  <c r="N47" i="24"/>
  <c r="N88" i="24"/>
  <c r="N84" i="24"/>
  <c r="N96" i="24"/>
  <c r="N99" i="24"/>
  <c r="N7" i="24"/>
  <c r="N51" i="24"/>
  <c r="N65" i="24"/>
  <c r="N48" i="24"/>
  <c r="N19" i="24"/>
  <c r="N29" i="24"/>
  <c r="N69" i="24"/>
  <c r="N8" i="24"/>
  <c r="N86" i="24"/>
  <c r="N24" i="24"/>
  <c r="N44" i="24"/>
  <c r="N59" i="24"/>
  <c r="N93" i="24"/>
  <c r="N55" i="24"/>
  <c r="N85" i="24"/>
  <c r="N13" i="24"/>
  <c r="N90" i="24"/>
  <c r="N20" i="24"/>
  <c r="N32" i="24"/>
  <c r="N98" i="24"/>
  <c r="N66" i="24"/>
  <c r="N49" i="24"/>
  <c r="N36" i="24"/>
  <c r="N41" i="24"/>
  <c r="N67" i="24"/>
  <c r="N95" i="24"/>
  <c r="N102" i="24"/>
  <c r="N100" i="24"/>
  <c r="N94" i="24"/>
  <c r="N87" i="24"/>
  <c r="N6" i="24"/>
  <c r="N26" i="24"/>
  <c r="N97" i="24"/>
  <c r="N79" i="24"/>
  <c r="N34" i="24"/>
  <c r="N14" i="24"/>
  <c r="N30" i="24"/>
  <c r="N27" i="24"/>
  <c r="N22" i="24"/>
  <c r="N61" i="24"/>
  <c r="N11" i="24"/>
  <c r="N45" i="24"/>
  <c r="N68" i="24"/>
  <c r="N83" i="24"/>
  <c r="N92" i="24"/>
  <c r="N104" i="24"/>
  <c r="N28" i="24"/>
  <c r="N105" i="24"/>
  <c r="N75" i="24"/>
  <c r="N42" i="24"/>
  <c r="N9" i="24"/>
  <c r="N77" i="24"/>
  <c r="N54" i="24"/>
  <c r="N10" i="24"/>
  <c r="T7" i="25"/>
  <c r="N71" i="24"/>
  <c r="N15" i="24"/>
  <c r="N21" i="24"/>
  <c r="N82" i="24"/>
  <c r="N16" i="24"/>
  <c r="N81" i="24"/>
  <c r="N17" i="24"/>
  <c r="N37" i="24"/>
  <c r="N43" i="24"/>
  <c r="N12" i="24"/>
  <c r="N57" i="24"/>
  <c r="N101" i="24"/>
  <c r="N91" i="24"/>
  <c r="N89" i="24"/>
  <c r="N103" i="24"/>
  <c r="N38" i="24"/>
  <c r="N58" i="24"/>
  <c r="L14" i="1"/>
  <c r="D61" i="2"/>
  <c r="N131" i="25"/>
  <c r="BL131" i="25"/>
  <c r="L116" i="25"/>
  <c r="BL116" i="25"/>
  <c r="L164" i="25"/>
  <c r="BL164" i="25"/>
  <c r="N157" i="25"/>
  <c r="BL157" i="25"/>
  <c r="N189" i="25"/>
  <c r="BL189" i="25"/>
  <c r="N138" i="25"/>
  <c r="BL138" i="25"/>
  <c r="L143" i="25"/>
  <c r="BL143" i="25"/>
  <c r="N183" i="25"/>
  <c r="BL183" i="25"/>
  <c r="L120" i="25"/>
  <c r="BL120" i="25"/>
  <c r="L136" i="25"/>
  <c r="BL136" i="25"/>
  <c r="N152" i="25"/>
  <c r="BL152" i="25"/>
  <c r="L168" i="25"/>
  <c r="BL168" i="25"/>
  <c r="N184" i="25"/>
  <c r="BL184" i="25"/>
  <c r="N200" i="25"/>
  <c r="BL200" i="25"/>
  <c r="N139" i="25"/>
  <c r="BL139" i="25"/>
  <c r="L191" i="25"/>
  <c r="BL191" i="25"/>
  <c r="N113" i="25"/>
  <c r="BL113" i="25"/>
  <c r="L129" i="25"/>
  <c r="BL129" i="25"/>
  <c r="N145" i="25"/>
  <c r="BL145" i="25"/>
  <c r="N177" i="25"/>
  <c r="BL177" i="25"/>
  <c r="L193" i="25"/>
  <c r="BL193" i="25"/>
  <c r="L209" i="25"/>
  <c r="BL209" i="25"/>
  <c r="L147" i="25"/>
  <c r="BL147" i="25"/>
  <c r="N207" i="25"/>
  <c r="BL207" i="25"/>
  <c r="N126" i="25"/>
  <c r="BL126" i="25"/>
  <c r="N142" i="25"/>
  <c r="BL142" i="25"/>
  <c r="N158" i="25"/>
  <c r="BL158" i="25"/>
  <c r="L174" i="25"/>
  <c r="BL174" i="25"/>
  <c r="N190" i="25"/>
  <c r="BL190" i="25"/>
  <c r="L206" i="25"/>
  <c r="BL206" i="25"/>
  <c r="L115" i="25"/>
  <c r="BL115" i="25"/>
  <c r="N151" i="25"/>
  <c r="BL151" i="25"/>
  <c r="L199" i="25"/>
  <c r="BL199" i="25"/>
  <c r="N124" i="25"/>
  <c r="BL124" i="25"/>
  <c r="L140" i="25"/>
  <c r="BL140" i="25"/>
  <c r="L156" i="25"/>
  <c r="BL156" i="25"/>
  <c r="N172" i="25"/>
  <c r="BL172" i="25"/>
  <c r="N188" i="25"/>
  <c r="BL188" i="25"/>
  <c r="N204" i="25"/>
  <c r="BL204" i="25"/>
  <c r="L159" i="25"/>
  <c r="BL159" i="25"/>
  <c r="N195" i="25"/>
  <c r="BL195" i="25"/>
  <c r="N117" i="25"/>
  <c r="BL117" i="25"/>
  <c r="N133" i="25"/>
  <c r="BL133" i="25"/>
  <c r="L149" i="25"/>
  <c r="BL149" i="25"/>
  <c r="N165" i="25"/>
  <c r="BL165" i="25"/>
  <c r="N181" i="25"/>
  <c r="BL181" i="25"/>
  <c r="N197" i="25"/>
  <c r="BL197" i="25"/>
  <c r="L111" i="25"/>
  <c r="BL111" i="25"/>
  <c r="N155" i="25"/>
  <c r="BL155" i="25"/>
  <c r="L114" i="25"/>
  <c r="BL114" i="25"/>
  <c r="L130" i="25"/>
  <c r="BL130" i="25"/>
  <c r="N146" i="25"/>
  <c r="BL146" i="25"/>
  <c r="N162" i="25"/>
  <c r="BL162" i="25"/>
  <c r="L178" i="25"/>
  <c r="BL178" i="25"/>
  <c r="L194" i="25"/>
  <c r="BL194" i="25"/>
  <c r="L210" i="25"/>
  <c r="BL210" i="25"/>
  <c r="N171" i="25"/>
  <c r="BL171" i="25"/>
  <c r="L132" i="25"/>
  <c r="BL132" i="25"/>
  <c r="N148" i="25"/>
  <c r="BL148" i="25"/>
  <c r="N180" i="25"/>
  <c r="BL180" i="25"/>
  <c r="L196" i="25"/>
  <c r="BL196" i="25"/>
  <c r="N127" i="25"/>
  <c r="BL127" i="25"/>
  <c r="L187" i="25"/>
  <c r="BL187" i="25"/>
  <c r="N125" i="25"/>
  <c r="BL125" i="25"/>
  <c r="N141" i="25"/>
  <c r="BL141" i="25"/>
  <c r="N173" i="25"/>
  <c r="BL173" i="25"/>
  <c r="N205" i="25"/>
  <c r="BL205" i="25"/>
  <c r="L135" i="25"/>
  <c r="BL135" i="25"/>
  <c r="L179" i="25"/>
  <c r="BL179" i="25"/>
  <c r="N122" i="25"/>
  <c r="BL122" i="25"/>
  <c r="L154" i="25"/>
  <c r="BL154" i="25"/>
  <c r="N170" i="25"/>
  <c r="BL170" i="25"/>
  <c r="L186" i="25"/>
  <c r="BL186" i="25"/>
  <c r="N202" i="25"/>
  <c r="BL202" i="25"/>
  <c r="L161" i="25"/>
  <c r="BL161" i="25"/>
  <c r="L123" i="25"/>
  <c r="BL123" i="25"/>
  <c r="N163" i="25"/>
  <c r="BL163" i="25"/>
  <c r="L112" i="25"/>
  <c r="BL112" i="25"/>
  <c r="N128" i="25"/>
  <c r="BL128" i="25"/>
  <c r="L144" i="25"/>
  <c r="BL144" i="25"/>
  <c r="L160" i="25"/>
  <c r="BL160" i="25"/>
  <c r="N176" i="25"/>
  <c r="BL176" i="25"/>
  <c r="L192" i="25"/>
  <c r="BL192" i="25"/>
  <c r="N208" i="25"/>
  <c r="BL208" i="25"/>
  <c r="L175" i="25"/>
  <c r="BL175" i="25"/>
  <c r="N203" i="25"/>
  <c r="BL203" i="25"/>
  <c r="N121" i="25"/>
  <c r="BL121" i="25"/>
  <c r="L137" i="25"/>
  <c r="BL137" i="25"/>
  <c r="L153" i="25"/>
  <c r="BL153" i="25"/>
  <c r="L169" i="25"/>
  <c r="BL169" i="25"/>
  <c r="L185" i="25"/>
  <c r="BL185" i="25"/>
  <c r="L201" i="25"/>
  <c r="BL201" i="25"/>
  <c r="L119" i="25"/>
  <c r="BL119" i="25"/>
  <c r="L167" i="25"/>
  <c r="BL167" i="25"/>
  <c r="N118" i="25"/>
  <c r="BL118" i="25"/>
  <c r="L134" i="25"/>
  <c r="BL134" i="25"/>
  <c r="N150" i="25"/>
  <c r="BL150" i="25"/>
  <c r="L166" i="25"/>
  <c r="BL166" i="25"/>
  <c r="L182" i="25"/>
  <c r="BL182" i="25"/>
  <c r="L198" i="25"/>
  <c r="BL198" i="25"/>
  <c r="K171" i="24"/>
  <c r="BM171" i="24"/>
  <c r="M123" i="24"/>
  <c r="BA123" i="24" s="1"/>
  <c r="BM123" i="24"/>
  <c r="K175" i="24"/>
  <c r="BM175" i="24"/>
  <c r="M128" i="24"/>
  <c r="BA128" i="24" s="1"/>
  <c r="BM128" i="24"/>
  <c r="K184" i="24"/>
  <c r="BM184" i="24"/>
  <c r="M142" i="24"/>
  <c r="BA142" i="24" s="1"/>
  <c r="BM142" i="24"/>
  <c r="M194" i="24"/>
  <c r="BA194" i="24" s="1"/>
  <c r="BM194" i="24"/>
  <c r="K151" i="24"/>
  <c r="BM151" i="24"/>
  <c r="K124" i="24"/>
  <c r="BM124" i="24"/>
  <c r="K114" i="24"/>
  <c r="BM114" i="24"/>
  <c r="M181" i="24"/>
  <c r="BA181" i="24" s="1"/>
  <c r="BM181" i="24"/>
  <c r="M165" i="24"/>
  <c r="BA165" i="24" s="1"/>
  <c r="BM165" i="24"/>
  <c r="K133" i="24"/>
  <c r="BM133" i="24"/>
  <c r="M208" i="24"/>
  <c r="BA208" i="24" s="1"/>
  <c r="BM208" i="24"/>
  <c r="K166" i="24"/>
  <c r="BM166" i="24"/>
  <c r="M115" i="24"/>
  <c r="BA115" i="24" s="1"/>
  <c r="BM115" i="24"/>
  <c r="M170" i="24"/>
  <c r="BA170" i="24" s="1"/>
  <c r="BM170" i="24"/>
  <c r="K120" i="24"/>
  <c r="BM120" i="24"/>
  <c r="M179" i="24"/>
  <c r="BA179" i="24" s="1"/>
  <c r="BM179" i="24"/>
  <c r="K135" i="24"/>
  <c r="BM135" i="24"/>
  <c r="M210" i="24"/>
  <c r="BA210" i="24" s="1"/>
  <c r="BM210" i="24"/>
  <c r="M167" i="24"/>
  <c r="BA167" i="24" s="1"/>
  <c r="BM167" i="24"/>
  <c r="K146" i="24"/>
  <c r="BM146" i="24"/>
  <c r="K126" i="24"/>
  <c r="BM126" i="24"/>
  <c r="K193" i="24"/>
  <c r="BM193" i="24"/>
  <c r="M161" i="24"/>
  <c r="BA161" i="24" s="1"/>
  <c r="BM161" i="24"/>
  <c r="K113" i="24"/>
  <c r="BM113" i="24"/>
  <c r="K198" i="24"/>
  <c r="BM198" i="24"/>
  <c r="K176" i="24"/>
  <c r="BM176" i="24"/>
  <c r="M155" i="24"/>
  <c r="BA155" i="24" s="1"/>
  <c r="BM155" i="24"/>
  <c r="M131" i="24"/>
  <c r="BA131" i="24" s="1"/>
  <c r="BM131" i="24"/>
  <c r="K202" i="24"/>
  <c r="BM202" i="24"/>
  <c r="K180" i="24"/>
  <c r="BM180" i="24"/>
  <c r="M159" i="24"/>
  <c r="BA159" i="24" s="1"/>
  <c r="BM159" i="24"/>
  <c r="M136" i="24"/>
  <c r="BA136" i="24" s="1"/>
  <c r="BM136" i="24"/>
  <c r="K190" i="24"/>
  <c r="BM190" i="24"/>
  <c r="K168" i="24"/>
  <c r="BM168" i="24"/>
  <c r="K147" i="24"/>
  <c r="BM147" i="24"/>
  <c r="M119" i="24"/>
  <c r="BA119" i="24" s="1"/>
  <c r="BM119" i="24"/>
  <c r="M199" i="24"/>
  <c r="BA199" i="24" s="1"/>
  <c r="BM199" i="24"/>
  <c r="K178" i="24"/>
  <c r="BM178" i="24"/>
  <c r="K156" i="24"/>
  <c r="BM156" i="24"/>
  <c r="K132" i="24"/>
  <c r="BM132" i="24"/>
  <c r="M134" i="24"/>
  <c r="BA134" i="24" s="1"/>
  <c r="BM134" i="24"/>
  <c r="K118" i="24"/>
  <c r="BM118" i="24"/>
  <c r="M201" i="24"/>
  <c r="BA201" i="24" s="1"/>
  <c r="BM201" i="24"/>
  <c r="K185" i="24"/>
  <c r="BM185" i="24"/>
  <c r="M169" i="24"/>
  <c r="BA169" i="24" s="1"/>
  <c r="BM169" i="24"/>
  <c r="K153" i="24"/>
  <c r="BM153" i="24"/>
  <c r="M137" i="24"/>
  <c r="BA137" i="24" s="1"/>
  <c r="BM137" i="24"/>
  <c r="K121" i="24"/>
  <c r="BM121" i="24"/>
  <c r="M192" i="24"/>
  <c r="BA192" i="24" s="1"/>
  <c r="BM192" i="24"/>
  <c r="M150" i="24"/>
  <c r="BA150" i="24" s="1"/>
  <c r="BM150" i="24"/>
  <c r="M196" i="24"/>
  <c r="BA196" i="24" s="1"/>
  <c r="BM196" i="24"/>
  <c r="M154" i="24"/>
  <c r="BA154" i="24" s="1"/>
  <c r="BM154" i="24"/>
  <c r="M206" i="24"/>
  <c r="BA206" i="24" s="1"/>
  <c r="BM206" i="24"/>
  <c r="M163" i="24"/>
  <c r="BA163" i="24" s="1"/>
  <c r="BM163" i="24"/>
  <c r="K111" i="24"/>
  <c r="BM111" i="24"/>
  <c r="M172" i="24"/>
  <c r="BA172" i="24" s="1"/>
  <c r="BM172" i="24"/>
  <c r="K130" i="24"/>
  <c r="BM130" i="24"/>
  <c r="K197" i="24"/>
  <c r="BM197" i="24"/>
  <c r="M149" i="24"/>
  <c r="BA149" i="24" s="1"/>
  <c r="BM149" i="24"/>
  <c r="K117" i="24"/>
  <c r="BM117" i="24"/>
  <c r="M187" i="24"/>
  <c r="BA187" i="24" s="1"/>
  <c r="BM187" i="24"/>
  <c r="K144" i="24"/>
  <c r="BM144" i="24"/>
  <c r="K191" i="24"/>
  <c r="BM191" i="24"/>
  <c r="M148" i="24"/>
  <c r="BA148" i="24" s="1"/>
  <c r="BM148" i="24"/>
  <c r="K200" i="24"/>
  <c r="BM200" i="24"/>
  <c r="K158" i="24"/>
  <c r="BM158" i="24"/>
  <c r="M188" i="24"/>
  <c r="BA188" i="24" s="1"/>
  <c r="BM188" i="24"/>
  <c r="M116" i="24"/>
  <c r="BA116" i="24" s="1"/>
  <c r="BM116" i="24"/>
  <c r="K209" i="24"/>
  <c r="BM209" i="24"/>
  <c r="M177" i="24"/>
  <c r="BA177" i="24" s="1"/>
  <c r="BM177" i="24"/>
  <c r="M145" i="24"/>
  <c r="BA145" i="24" s="1"/>
  <c r="BM145" i="24"/>
  <c r="K129" i="24"/>
  <c r="BM129" i="24"/>
  <c r="M203" i="24"/>
  <c r="BA203" i="24" s="1"/>
  <c r="BM203" i="24"/>
  <c r="M182" i="24"/>
  <c r="BA182" i="24" s="1"/>
  <c r="BM182" i="24"/>
  <c r="K160" i="24"/>
  <c r="BM160" i="24"/>
  <c r="K139" i="24"/>
  <c r="BM139" i="24"/>
  <c r="M207" i="24"/>
  <c r="BA207" i="24" s="1"/>
  <c r="BM207" i="24"/>
  <c r="M186" i="24"/>
  <c r="BA186" i="24" s="1"/>
  <c r="BM186" i="24"/>
  <c r="K164" i="24"/>
  <c r="BM164" i="24"/>
  <c r="K143" i="24"/>
  <c r="BM143" i="24"/>
  <c r="M112" i="24"/>
  <c r="BA112" i="24" s="1"/>
  <c r="BM112" i="24"/>
  <c r="K195" i="24"/>
  <c r="BM195" i="24"/>
  <c r="K174" i="24"/>
  <c r="BM174" i="24"/>
  <c r="M152" i="24"/>
  <c r="BA152" i="24" s="1"/>
  <c r="BM152" i="24"/>
  <c r="K127" i="24"/>
  <c r="BM127" i="24"/>
  <c r="K204" i="24"/>
  <c r="BM204" i="24"/>
  <c r="M183" i="24"/>
  <c r="BA183" i="24" s="1"/>
  <c r="BM183" i="24"/>
  <c r="M162" i="24"/>
  <c r="BA162" i="24" s="1"/>
  <c r="BM162" i="24"/>
  <c r="K140" i="24"/>
  <c r="BM140" i="24"/>
  <c r="K138" i="24"/>
  <c r="BM138" i="24"/>
  <c r="M122" i="24"/>
  <c r="BA122" i="24" s="1"/>
  <c r="BM122" i="24"/>
  <c r="M205" i="24"/>
  <c r="BA205" i="24" s="1"/>
  <c r="BM205" i="24"/>
  <c r="K189" i="24"/>
  <c r="BM189" i="24"/>
  <c r="K173" i="24"/>
  <c r="BM173" i="24"/>
  <c r="M157" i="24"/>
  <c r="BA157" i="24" s="1"/>
  <c r="BM157" i="24"/>
  <c r="K141" i="24"/>
  <c r="BM141" i="24"/>
  <c r="M125" i="24"/>
  <c r="BA125" i="24" s="1"/>
  <c r="BM125" i="24"/>
  <c r="N187" i="25"/>
  <c r="L200" i="25"/>
  <c r="B242" i="2"/>
  <c r="L13" i="1"/>
  <c r="J5" i="24"/>
  <c r="O5" i="24"/>
  <c r="S217" i="24"/>
  <c r="T217" i="24" s="1"/>
  <c r="S110" i="24"/>
  <c r="T110" i="24" s="1"/>
  <c r="A28" i="16"/>
  <c r="U5" i="24"/>
  <c r="T5" i="25"/>
  <c r="U5" i="25" s="1"/>
  <c r="N110" i="25"/>
  <c r="M110" i="24"/>
  <c r="BB110" i="24" s="1"/>
  <c r="BR5" i="25"/>
  <c r="L176" i="25"/>
  <c r="B238" i="2"/>
  <c r="D238" i="2" s="1"/>
  <c r="D34" i="16"/>
  <c r="L155" i="25"/>
  <c r="N149" i="25"/>
  <c r="N115" i="25"/>
  <c r="L172" i="25"/>
  <c r="N199" i="25"/>
  <c r="L124" i="25"/>
  <c r="N156" i="25"/>
  <c r="N114" i="25"/>
  <c r="N130" i="25"/>
  <c r="L195" i="25"/>
  <c r="N194" i="25"/>
  <c r="L162" i="25"/>
  <c r="L151" i="25"/>
  <c r="N143" i="25"/>
  <c r="L145" i="25"/>
  <c r="O9" i="25"/>
  <c r="R9" i="25" s="1"/>
  <c r="O10" i="25"/>
  <c r="Q10" i="25" s="1"/>
  <c r="O80" i="25"/>
  <c r="Q80" i="25" s="1"/>
  <c r="O53" i="25"/>
  <c r="R53" i="25" s="1"/>
  <c r="L113" i="25"/>
  <c r="N161" i="25"/>
  <c r="W42" i="2"/>
  <c r="W43" i="2" s="1"/>
  <c r="R43" i="2"/>
  <c r="N111" i="25"/>
  <c r="N159" i="25"/>
  <c r="L133" i="25"/>
  <c r="L197" i="25"/>
  <c r="N140" i="25"/>
  <c r="N178" i="25"/>
  <c r="N210" i="25"/>
  <c r="L146" i="25"/>
  <c r="L204" i="25"/>
  <c r="L117" i="25"/>
  <c r="L165" i="25"/>
  <c r="L188" i="25"/>
  <c r="L181" i="25"/>
  <c r="L184" i="25"/>
  <c r="L177" i="25"/>
  <c r="N193" i="25"/>
  <c r="N147" i="25"/>
  <c r="L139" i="25"/>
  <c r="L142" i="25"/>
  <c r="L183" i="25"/>
  <c r="N168" i="25"/>
  <c r="N174" i="25"/>
  <c r="O57" i="25"/>
  <c r="R57" i="25" s="1"/>
  <c r="O89" i="25"/>
  <c r="R89" i="25" s="1"/>
  <c r="O94" i="25"/>
  <c r="R94" i="25" s="1"/>
  <c r="O55" i="25"/>
  <c r="Q55" i="25" s="1"/>
  <c r="O65" i="25"/>
  <c r="Q65" i="25" s="1"/>
  <c r="O12" i="25"/>
  <c r="R12" i="25" s="1"/>
  <c r="O104" i="25"/>
  <c r="Q104" i="25" s="1"/>
  <c r="O13" i="25"/>
  <c r="R13" i="25" s="1"/>
  <c r="O32" i="25"/>
  <c r="Q32" i="25" s="1"/>
  <c r="O52" i="25"/>
  <c r="Q52" i="25" s="1"/>
  <c r="O18" i="25"/>
  <c r="R18" i="25" s="1"/>
  <c r="O31" i="25"/>
  <c r="Q31" i="25" s="1"/>
  <c r="O59" i="25"/>
  <c r="Q59" i="25" s="1"/>
  <c r="O93" i="25"/>
  <c r="Q93" i="25" s="1"/>
  <c r="R44" i="2"/>
  <c r="B26" i="2"/>
  <c r="L118" i="25"/>
  <c r="N175" i="25"/>
  <c r="L148" i="25"/>
  <c r="L122" i="25"/>
  <c r="N136" i="25"/>
  <c r="L180" i="25"/>
  <c r="N120" i="25"/>
  <c r="L163" i="25"/>
  <c r="N129" i="25"/>
  <c r="N119" i="25"/>
  <c r="L128" i="25"/>
  <c r="L158" i="25"/>
  <c r="L152" i="25"/>
  <c r="N191" i="25"/>
  <c r="N192" i="25"/>
  <c r="N185" i="25"/>
  <c r="N166" i="25"/>
  <c r="L203" i="25"/>
  <c r="N167" i="25"/>
  <c r="L207" i="25"/>
  <c r="N209" i="25"/>
  <c r="L126" i="25"/>
  <c r="N206" i="25"/>
  <c r="N160" i="25"/>
  <c r="N153" i="25"/>
  <c r="N134" i="25"/>
  <c r="N198" i="25"/>
  <c r="N201" i="25"/>
  <c r="N112" i="25"/>
  <c r="L121" i="25"/>
  <c r="N123" i="25"/>
  <c r="L150" i="25"/>
  <c r="N144" i="25"/>
  <c r="N137" i="25"/>
  <c r="N169" i="25"/>
  <c r="N182" i="25"/>
  <c r="L208" i="25"/>
  <c r="L190" i="25"/>
  <c r="L127" i="25"/>
  <c r="N116" i="25"/>
  <c r="O87" i="25"/>
  <c r="Q87" i="25" s="1"/>
  <c r="O29" i="25"/>
  <c r="R29" i="25" s="1"/>
  <c r="O64" i="25"/>
  <c r="R64" i="25" s="1"/>
  <c r="O35" i="25"/>
  <c r="R35" i="25" s="1"/>
  <c r="O62" i="25"/>
  <c r="R62" i="25" s="1"/>
  <c r="O81" i="25"/>
  <c r="R81" i="25" s="1"/>
  <c r="O72" i="25"/>
  <c r="Q72" i="25" s="1"/>
  <c r="O22" i="25"/>
  <c r="Q22" i="25" s="1"/>
  <c r="O82" i="25"/>
  <c r="Q82" i="25" s="1"/>
  <c r="O63" i="25"/>
  <c r="R63" i="25" s="1"/>
  <c r="O41" i="25"/>
  <c r="Q41" i="25" s="1"/>
  <c r="O67" i="25"/>
  <c r="R67" i="25" s="1"/>
  <c r="O86" i="25"/>
  <c r="Q86" i="25" s="1"/>
  <c r="O44" i="25"/>
  <c r="Q44" i="25" s="1"/>
  <c r="O79" i="25"/>
  <c r="R79" i="25" s="1"/>
  <c r="O100" i="25"/>
  <c r="Q100" i="25" s="1"/>
  <c r="O90" i="25"/>
  <c r="Q90" i="25" s="1"/>
  <c r="O58" i="25"/>
  <c r="Q58" i="25" s="1"/>
  <c r="O30" i="25"/>
  <c r="R30" i="25" s="1"/>
  <c r="O73" i="25"/>
  <c r="R73" i="25" s="1"/>
  <c r="O15" i="25"/>
  <c r="Q15" i="25" s="1"/>
  <c r="O25" i="25"/>
  <c r="R25" i="25" s="1"/>
  <c r="O24" i="25"/>
  <c r="R24" i="25" s="1"/>
  <c r="O6" i="25"/>
  <c r="Q6" i="25" s="1"/>
  <c r="O88" i="25"/>
  <c r="Q88" i="25" s="1"/>
  <c r="O47" i="25"/>
  <c r="Q47" i="25" s="1"/>
  <c r="O16" i="25"/>
  <c r="R16" i="25" s="1"/>
  <c r="O85" i="25"/>
  <c r="Q85" i="25" s="1"/>
  <c r="O60" i="25"/>
  <c r="R60" i="25" s="1"/>
  <c r="O61" i="25"/>
  <c r="R61" i="25" s="1"/>
  <c r="O49" i="25"/>
  <c r="R49" i="25" s="1"/>
  <c r="O8" i="25"/>
  <c r="Q8" i="25" s="1"/>
  <c r="O40" i="25"/>
  <c r="Q40" i="25" s="1"/>
  <c r="O76" i="25"/>
  <c r="Q76" i="25" s="1"/>
  <c r="O26" i="25"/>
  <c r="Q26" i="25" s="1"/>
  <c r="O71" i="25"/>
  <c r="R71" i="25" s="1"/>
  <c r="O69" i="25"/>
  <c r="Q69" i="25" s="1"/>
  <c r="O101" i="25"/>
  <c r="R101" i="25" s="1"/>
  <c r="O21" i="25"/>
  <c r="Q21" i="25" s="1"/>
  <c r="O50" i="25"/>
  <c r="R50" i="25" s="1"/>
  <c r="O99" i="25"/>
  <c r="R99" i="25" s="1"/>
  <c r="O23" i="25"/>
  <c r="Q23" i="25" s="1"/>
  <c r="O51" i="25"/>
  <c r="Q51" i="25" s="1"/>
  <c r="O83" i="25"/>
  <c r="Q83" i="25" s="1"/>
  <c r="O96" i="25"/>
  <c r="Q96" i="25" s="1"/>
  <c r="O91" i="25"/>
  <c r="Q91" i="25" s="1"/>
  <c r="O43" i="25"/>
  <c r="Q43" i="25" s="1"/>
  <c r="O38" i="25"/>
  <c r="Q38" i="25" s="1"/>
  <c r="O70" i="25"/>
  <c r="Q70" i="25" s="1"/>
  <c r="O39" i="25"/>
  <c r="R39" i="25" s="1"/>
  <c r="O37" i="25"/>
  <c r="R37" i="25" s="1"/>
  <c r="O36" i="25"/>
  <c r="Q36" i="25" s="1"/>
  <c r="O84" i="25"/>
  <c r="Q84" i="25" s="1"/>
  <c r="O75" i="25"/>
  <c r="Q75" i="25" s="1"/>
  <c r="O19" i="25"/>
  <c r="R19" i="25" s="1"/>
  <c r="O74" i="25"/>
  <c r="Q74" i="25" s="1"/>
  <c r="O46" i="25"/>
  <c r="R46" i="25" s="1"/>
  <c r="O48" i="25"/>
  <c r="R48" i="25" s="1"/>
  <c r="O105" i="25"/>
  <c r="Q105" i="25" s="1"/>
  <c r="O45" i="25"/>
  <c r="Q45" i="25" s="1"/>
  <c r="O7" i="25"/>
  <c r="R7" i="25" s="1"/>
  <c r="O33" i="25"/>
  <c r="Q33" i="25" s="1"/>
  <c r="O28" i="25"/>
  <c r="Q28" i="25" s="1"/>
  <c r="O54" i="25"/>
  <c r="Q54" i="25" s="1"/>
  <c r="O68" i="25"/>
  <c r="R68" i="25" s="1"/>
  <c r="O42" i="25"/>
  <c r="R42" i="25" s="1"/>
  <c r="O92" i="25"/>
  <c r="Q92" i="25" s="1"/>
  <c r="O103" i="25"/>
  <c r="Q103" i="25" s="1"/>
  <c r="O14" i="25"/>
  <c r="Q14" i="25" s="1"/>
  <c r="O27" i="25"/>
  <c r="R27" i="25" s="1"/>
  <c r="O66" i="25"/>
  <c r="R66" i="25" s="1"/>
  <c r="O11" i="25"/>
  <c r="Q11" i="25" s="1"/>
  <c r="O17" i="25"/>
  <c r="R17" i="25" s="1"/>
  <c r="O77" i="25"/>
  <c r="Q77" i="25" s="1"/>
  <c r="O20" i="25"/>
  <c r="R20" i="25" s="1"/>
  <c r="O56" i="25"/>
  <c r="Q56" i="25" s="1"/>
  <c r="O97" i="25"/>
  <c r="Q97" i="25" s="1"/>
  <c r="O98" i="25"/>
  <c r="R98" i="25" s="1"/>
  <c r="O102" i="25"/>
  <c r="R102" i="25" s="1"/>
  <c r="O95" i="25"/>
  <c r="R95" i="25" s="1"/>
  <c r="O34" i="25"/>
  <c r="R34" i="25" s="1"/>
  <c r="O78" i="25"/>
  <c r="Q78" i="25" s="1"/>
  <c r="L171" i="25"/>
  <c r="L110" i="25"/>
  <c r="L141" i="25"/>
  <c r="L173" i="25"/>
  <c r="L205" i="25"/>
  <c r="N154" i="25"/>
  <c r="N186" i="25"/>
  <c r="N179" i="25"/>
  <c r="L138" i="25"/>
  <c r="L170" i="25"/>
  <c r="L202" i="25"/>
  <c r="N135" i="25"/>
  <c r="L131" i="25"/>
  <c r="L125" i="25"/>
  <c r="L157" i="25"/>
  <c r="L189" i="25"/>
  <c r="N132" i="25"/>
  <c r="N164" i="25"/>
  <c r="N196" i="25"/>
  <c r="I9" i="19"/>
  <c r="I8" i="19"/>
  <c r="I7" i="19"/>
  <c r="I6" i="19"/>
  <c r="N240" i="25"/>
  <c r="L240" i="25"/>
  <c r="N244" i="25"/>
  <c r="L244" i="25"/>
  <c r="N248" i="25"/>
  <c r="L248" i="25"/>
  <c r="N236" i="25"/>
  <c r="L236" i="25"/>
  <c r="N288" i="25"/>
  <c r="L288" i="25"/>
  <c r="N304" i="25"/>
  <c r="L304" i="25"/>
  <c r="N218" i="25"/>
  <c r="L218" i="25"/>
  <c r="N233" i="25"/>
  <c r="L233" i="25"/>
  <c r="L249" i="25"/>
  <c r="N249" i="25"/>
  <c r="L265" i="25"/>
  <c r="N265" i="25"/>
  <c r="L281" i="25"/>
  <c r="N281" i="25"/>
  <c r="L297" i="25"/>
  <c r="N297" i="25"/>
  <c r="N313" i="25"/>
  <c r="L313" i="25"/>
  <c r="L230" i="25"/>
  <c r="N230" i="25"/>
  <c r="L246" i="25"/>
  <c r="N246" i="25"/>
  <c r="L262" i="25"/>
  <c r="N262" i="25"/>
  <c r="N278" i="25"/>
  <c r="L278" i="25"/>
  <c r="L294" i="25"/>
  <c r="N294" i="25"/>
  <c r="N310" i="25"/>
  <c r="L310" i="25"/>
  <c r="N223" i="25"/>
  <c r="L223" i="25"/>
  <c r="L239" i="25"/>
  <c r="N239" i="25"/>
  <c r="L255" i="25"/>
  <c r="N255" i="25"/>
  <c r="L271" i="25"/>
  <c r="N271" i="25"/>
  <c r="N287" i="25"/>
  <c r="L287" i="25"/>
  <c r="L303" i="25"/>
  <c r="N303" i="25"/>
  <c r="N256" i="25"/>
  <c r="L256" i="25"/>
  <c r="N260" i="25"/>
  <c r="L260" i="25"/>
  <c r="N264" i="25"/>
  <c r="L264" i="25"/>
  <c r="N252" i="25"/>
  <c r="L252" i="25"/>
  <c r="N292" i="25"/>
  <c r="L292" i="25"/>
  <c r="N308" i="25"/>
  <c r="L308" i="25"/>
  <c r="L221" i="25"/>
  <c r="N221" i="25"/>
  <c r="L237" i="25"/>
  <c r="N237" i="25"/>
  <c r="L253" i="25"/>
  <c r="N253" i="25"/>
  <c r="L269" i="25"/>
  <c r="N269" i="25"/>
  <c r="N285" i="25"/>
  <c r="L285" i="25"/>
  <c r="N301" i="25"/>
  <c r="L301" i="25"/>
  <c r="N317" i="25"/>
  <c r="L317" i="25"/>
  <c r="N234" i="25"/>
  <c r="L234" i="25"/>
  <c r="N250" i="25"/>
  <c r="L250" i="25"/>
  <c r="N266" i="25"/>
  <c r="L266" i="25"/>
  <c r="N282" i="25"/>
  <c r="L282" i="25"/>
  <c r="L298" i="25"/>
  <c r="N298" i="25"/>
  <c r="N314" i="25"/>
  <c r="L314" i="25"/>
  <c r="N227" i="25"/>
  <c r="L227" i="25"/>
  <c r="N243" i="25"/>
  <c r="L243" i="25"/>
  <c r="N259" i="25"/>
  <c r="L259" i="25"/>
  <c r="N275" i="25"/>
  <c r="L275" i="25"/>
  <c r="N291" i="25"/>
  <c r="L291" i="25"/>
  <c r="L307" i="25"/>
  <c r="N307" i="25"/>
  <c r="N272" i="25"/>
  <c r="L272" i="25"/>
  <c r="L276" i="25"/>
  <c r="N276" i="25"/>
  <c r="N280" i="25"/>
  <c r="L280" i="25"/>
  <c r="N268" i="25"/>
  <c r="L268" i="25"/>
  <c r="N296" i="25"/>
  <c r="L296" i="25"/>
  <c r="L312" i="25"/>
  <c r="N312" i="25"/>
  <c r="L225" i="25"/>
  <c r="N225" i="25"/>
  <c r="L241" i="25"/>
  <c r="N241" i="25"/>
  <c r="L257" i="25"/>
  <c r="N257" i="25"/>
  <c r="L273" i="25"/>
  <c r="N273" i="25"/>
  <c r="L289" i="25"/>
  <c r="N289" i="25"/>
  <c r="L305" i="25"/>
  <c r="N305" i="25"/>
  <c r="N222" i="25"/>
  <c r="L222" i="25"/>
  <c r="N238" i="25"/>
  <c r="L238" i="25"/>
  <c r="N254" i="25"/>
  <c r="L254" i="25"/>
  <c r="N270" i="25"/>
  <c r="L270" i="25"/>
  <c r="N286" i="25"/>
  <c r="L286" i="25"/>
  <c r="L302" i="25"/>
  <c r="N302" i="25"/>
  <c r="N318" i="25"/>
  <c r="L318" i="25"/>
  <c r="N231" i="25"/>
  <c r="L231" i="25"/>
  <c r="N247" i="25"/>
  <c r="L247" i="25"/>
  <c r="N263" i="25"/>
  <c r="L263" i="25"/>
  <c r="L279" i="25"/>
  <c r="N279" i="25"/>
  <c r="N295" i="25"/>
  <c r="L295" i="25"/>
  <c r="L311" i="25"/>
  <c r="N311" i="25"/>
  <c r="L224" i="25"/>
  <c r="N224" i="25"/>
  <c r="L228" i="25"/>
  <c r="N228" i="25"/>
  <c r="L232" i="25"/>
  <c r="N232" i="25"/>
  <c r="L220" i="25"/>
  <c r="N220" i="25"/>
  <c r="N284" i="25"/>
  <c r="L284" i="25"/>
  <c r="N300" i="25"/>
  <c r="L300" i="25"/>
  <c r="N316" i="25"/>
  <c r="L316" i="25"/>
  <c r="N229" i="25"/>
  <c r="L229" i="25"/>
  <c r="L245" i="25"/>
  <c r="N245" i="25"/>
  <c r="L261" i="25"/>
  <c r="N261" i="25"/>
  <c r="N277" i="25"/>
  <c r="L277" i="25"/>
  <c r="L293" i="25"/>
  <c r="N293" i="25"/>
  <c r="N309" i="25"/>
  <c r="L309" i="25"/>
  <c r="N226" i="25"/>
  <c r="L226" i="25"/>
  <c r="L242" i="25"/>
  <c r="N242" i="25"/>
  <c r="L258" i="25"/>
  <c r="N258" i="25"/>
  <c r="N274" i="25"/>
  <c r="L274" i="25"/>
  <c r="N290" i="25"/>
  <c r="L290" i="25"/>
  <c r="L306" i="25"/>
  <c r="N306" i="25"/>
  <c r="N219" i="25"/>
  <c r="L219" i="25"/>
  <c r="N235" i="25"/>
  <c r="L235" i="25"/>
  <c r="N251" i="25"/>
  <c r="L251" i="25"/>
  <c r="N267" i="25"/>
  <c r="L267" i="25"/>
  <c r="N283" i="25"/>
  <c r="L283" i="25"/>
  <c r="N299" i="25"/>
  <c r="L299" i="25"/>
  <c r="L315" i="25"/>
  <c r="N315" i="25"/>
  <c r="F316" i="25"/>
  <c r="AX316" i="25" s="1"/>
  <c r="F312" i="25"/>
  <c r="F308" i="25"/>
  <c r="AX308" i="25" s="1"/>
  <c r="F306" i="25"/>
  <c r="F305" i="25"/>
  <c r="F304" i="25"/>
  <c r="AX304" i="25" s="1"/>
  <c r="F303" i="25"/>
  <c r="F317" i="25"/>
  <c r="AX317" i="25" s="1"/>
  <c r="F313" i="25"/>
  <c r="F309" i="25"/>
  <c r="AX309" i="25" s="1"/>
  <c r="F307" i="25"/>
  <c r="F302" i="25"/>
  <c r="F298" i="25"/>
  <c r="F294" i="25"/>
  <c r="F290" i="25"/>
  <c r="AX290" i="25" s="1"/>
  <c r="F286" i="25"/>
  <c r="F315" i="25"/>
  <c r="F314" i="25"/>
  <c r="AX314" i="25" s="1"/>
  <c r="F299" i="25"/>
  <c r="F295" i="25"/>
  <c r="AX295" i="25" s="1"/>
  <c r="F291" i="25"/>
  <c r="F287" i="25"/>
  <c r="AX287" i="25" s="1"/>
  <c r="F283" i="25"/>
  <c r="F281" i="25"/>
  <c r="F277" i="25"/>
  <c r="AX277" i="25" s="1"/>
  <c r="F273" i="25"/>
  <c r="F318" i="25"/>
  <c r="F311" i="25"/>
  <c r="AX311" i="25" s="1"/>
  <c r="F282" i="25"/>
  <c r="AX282" i="25" s="1"/>
  <c r="F278" i="25"/>
  <c r="F274" i="25"/>
  <c r="F296" i="25"/>
  <c r="F288" i="25"/>
  <c r="F267" i="25"/>
  <c r="AX267" i="25" s="1"/>
  <c r="F263" i="25"/>
  <c r="F259" i="25"/>
  <c r="F255" i="25"/>
  <c r="F251" i="25"/>
  <c r="F247" i="25"/>
  <c r="F243" i="25"/>
  <c r="AX243" i="25" s="1"/>
  <c r="F239" i="25"/>
  <c r="F235" i="25"/>
  <c r="AX235" i="25" s="1"/>
  <c r="F208" i="25"/>
  <c r="F204" i="25"/>
  <c r="AX204" i="25" s="1"/>
  <c r="F200" i="25"/>
  <c r="F301" i="25"/>
  <c r="F293" i="25"/>
  <c r="F285" i="25"/>
  <c r="AX285" i="25" s="1"/>
  <c r="F268" i="25"/>
  <c r="AX268" i="25" s="1"/>
  <c r="F264" i="25"/>
  <c r="AX264" i="25" s="1"/>
  <c r="F260" i="25"/>
  <c r="AX260" i="25" s="1"/>
  <c r="F256" i="25"/>
  <c r="AX256" i="25" s="1"/>
  <c r="F252" i="25"/>
  <c r="F248" i="25"/>
  <c r="F244" i="25"/>
  <c r="AX244" i="25" s="1"/>
  <c r="F240" i="25"/>
  <c r="F236" i="25"/>
  <c r="AX236" i="25" s="1"/>
  <c r="F207" i="25"/>
  <c r="F203" i="25"/>
  <c r="F310" i="25"/>
  <c r="AX310" i="25" s="1"/>
  <c r="F300" i="25"/>
  <c r="F284" i="25"/>
  <c r="AX284" i="25" s="1"/>
  <c r="F230" i="25"/>
  <c r="F226" i="25"/>
  <c r="F222" i="25"/>
  <c r="F210" i="25"/>
  <c r="F209" i="25"/>
  <c r="F206" i="25"/>
  <c r="AX206" i="25" s="1"/>
  <c r="F205" i="25"/>
  <c r="F202" i="25"/>
  <c r="F201" i="25"/>
  <c r="F199" i="25"/>
  <c r="AX199" i="25" s="1"/>
  <c r="F195" i="25"/>
  <c r="F191" i="25"/>
  <c r="F187" i="25"/>
  <c r="F183" i="25"/>
  <c r="F179" i="25"/>
  <c r="F175" i="25"/>
  <c r="F171" i="25"/>
  <c r="F167" i="25"/>
  <c r="AX167" i="25" s="1"/>
  <c r="F163" i="25"/>
  <c r="F159" i="25"/>
  <c r="F155" i="25"/>
  <c r="F151" i="25"/>
  <c r="F147" i="25"/>
  <c r="F143" i="25"/>
  <c r="AX143" i="25" s="1"/>
  <c r="F139" i="25"/>
  <c r="F135" i="25"/>
  <c r="F131" i="25"/>
  <c r="F289" i="25"/>
  <c r="AX289" i="25" s="1"/>
  <c r="F280" i="25"/>
  <c r="F276" i="25"/>
  <c r="F272" i="25"/>
  <c r="F270" i="25"/>
  <c r="AX270" i="25" s="1"/>
  <c r="F269" i="25"/>
  <c r="F266" i="25"/>
  <c r="F265" i="25"/>
  <c r="F262" i="25"/>
  <c r="F261" i="25"/>
  <c r="F258" i="25"/>
  <c r="AX258" i="25" s="1"/>
  <c r="F257" i="25"/>
  <c r="F254" i="25"/>
  <c r="F253" i="25"/>
  <c r="F250" i="25"/>
  <c r="AX250" i="25" s="1"/>
  <c r="F249" i="25"/>
  <c r="F246" i="25"/>
  <c r="F245" i="25"/>
  <c r="F242" i="25"/>
  <c r="F241" i="25"/>
  <c r="F238" i="25"/>
  <c r="AX238" i="25" s="1"/>
  <c r="F237" i="25"/>
  <c r="F234" i="25"/>
  <c r="F231" i="25"/>
  <c r="AX231" i="25" s="1"/>
  <c r="F227" i="25"/>
  <c r="F223" i="25"/>
  <c r="AX223" i="25" s="1"/>
  <c r="F219" i="25"/>
  <c r="AX219" i="25" s="1"/>
  <c r="F198" i="25"/>
  <c r="F194" i="25"/>
  <c r="F190" i="25"/>
  <c r="F186" i="25"/>
  <c r="F182" i="25"/>
  <c r="AX182" i="25" s="1"/>
  <c r="F178" i="25"/>
  <c r="AX178" i="25" s="1"/>
  <c r="F174" i="25"/>
  <c r="AX174" i="25" s="1"/>
  <c r="F170" i="25"/>
  <c r="F166" i="25"/>
  <c r="F162" i="25"/>
  <c r="F158" i="25"/>
  <c r="F154" i="25"/>
  <c r="AX154" i="25" s="1"/>
  <c r="F150" i="25"/>
  <c r="F146" i="25"/>
  <c r="F142" i="25"/>
  <c r="F138" i="25"/>
  <c r="F134" i="25"/>
  <c r="F130" i="25"/>
  <c r="AX130" i="25" s="1"/>
  <c r="F197" i="25"/>
  <c r="F196" i="25"/>
  <c r="F193" i="25"/>
  <c r="F192" i="25"/>
  <c r="F189" i="25"/>
  <c r="F188" i="25"/>
  <c r="F185" i="25"/>
  <c r="AX185" i="25" s="1"/>
  <c r="F184" i="25"/>
  <c r="F181" i="25"/>
  <c r="F180" i="25"/>
  <c r="F177" i="25"/>
  <c r="F176" i="25"/>
  <c r="AX176" i="25" s="1"/>
  <c r="F173" i="25"/>
  <c r="F172" i="25"/>
  <c r="F169" i="25"/>
  <c r="F168" i="25"/>
  <c r="F165" i="25"/>
  <c r="F164" i="25"/>
  <c r="F161" i="25"/>
  <c r="AX161" i="25" s="1"/>
  <c r="F160" i="25"/>
  <c r="AX160" i="25" s="1"/>
  <c r="F157" i="25"/>
  <c r="F156" i="25"/>
  <c r="F153" i="25"/>
  <c r="F152" i="25"/>
  <c r="F149" i="25"/>
  <c r="F148" i="25"/>
  <c r="F145" i="25"/>
  <c r="F144" i="25"/>
  <c r="F141" i="25"/>
  <c r="F140" i="25"/>
  <c r="AX140" i="25" s="1"/>
  <c r="F137" i="25"/>
  <c r="F136" i="25"/>
  <c r="F133" i="25"/>
  <c r="F132" i="25"/>
  <c r="AX132" i="25" s="1"/>
  <c r="F129" i="25"/>
  <c r="F128" i="25"/>
  <c r="F127" i="25"/>
  <c r="F123" i="25"/>
  <c r="AX123" i="25" s="1"/>
  <c r="F119" i="25"/>
  <c r="F115" i="25"/>
  <c r="F111" i="25"/>
  <c r="F105" i="25"/>
  <c r="AX105" i="25" s="1"/>
  <c r="F104" i="25"/>
  <c r="AX104" i="25" s="1"/>
  <c r="F103" i="25"/>
  <c r="AX103" i="25" s="1"/>
  <c r="F102" i="25"/>
  <c r="AX102" i="25" s="1"/>
  <c r="F101" i="25"/>
  <c r="AX101" i="25" s="1"/>
  <c r="F100" i="25"/>
  <c r="AX100" i="25" s="1"/>
  <c r="F99" i="25"/>
  <c r="AX99" i="25" s="1"/>
  <c r="F98" i="25"/>
  <c r="AX98" i="25" s="1"/>
  <c r="F97" i="25"/>
  <c r="AX97" i="25" s="1"/>
  <c r="F96" i="25"/>
  <c r="AX96" i="25" s="1"/>
  <c r="F95" i="25"/>
  <c r="AX95" i="25" s="1"/>
  <c r="F94" i="25"/>
  <c r="AX94" i="25" s="1"/>
  <c r="F93" i="25"/>
  <c r="AX93" i="25" s="1"/>
  <c r="F92" i="25"/>
  <c r="AX92" i="25" s="1"/>
  <c r="F91" i="25"/>
  <c r="AX91" i="25" s="1"/>
  <c r="F292" i="25"/>
  <c r="AX292" i="25" s="1"/>
  <c r="F279" i="25"/>
  <c r="AX279" i="25" s="1"/>
  <c r="F275" i="25"/>
  <c r="AX275" i="25" s="1"/>
  <c r="F271" i="25"/>
  <c r="F233" i="25"/>
  <c r="AX233" i="25" s="1"/>
  <c r="F232" i="25"/>
  <c r="AX232" i="25" s="1"/>
  <c r="F229" i="25"/>
  <c r="F228" i="25"/>
  <c r="AX228" i="25" s="1"/>
  <c r="F225" i="25"/>
  <c r="F224" i="25"/>
  <c r="F221" i="25"/>
  <c r="F220" i="25"/>
  <c r="F126" i="25"/>
  <c r="F122" i="25"/>
  <c r="F118" i="25"/>
  <c r="F114" i="25"/>
  <c r="F297" i="25"/>
  <c r="F87" i="25"/>
  <c r="AX87" i="25" s="1"/>
  <c r="F83" i="25"/>
  <c r="AX83" i="25" s="1"/>
  <c r="F79" i="25"/>
  <c r="AX79" i="25" s="1"/>
  <c r="F75" i="25"/>
  <c r="AX75" i="25" s="1"/>
  <c r="F71" i="25"/>
  <c r="AX71" i="25" s="1"/>
  <c r="F67" i="25"/>
  <c r="AX67" i="25" s="1"/>
  <c r="F63" i="25"/>
  <c r="AX63" i="25" s="1"/>
  <c r="F59" i="25"/>
  <c r="AX59" i="25" s="1"/>
  <c r="F55" i="25"/>
  <c r="AX55" i="25" s="1"/>
  <c r="F51" i="25"/>
  <c r="AX51" i="25" s="1"/>
  <c r="F47" i="25"/>
  <c r="AX47" i="25" s="1"/>
  <c r="F43" i="25"/>
  <c r="AX43" i="25" s="1"/>
  <c r="F39" i="25"/>
  <c r="AX39" i="25" s="1"/>
  <c r="F31" i="25"/>
  <c r="AX31" i="25" s="1"/>
  <c r="F27" i="25"/>
  <c r="AX27" i="25" s="1"/>
  <c r="F23" i="25"/>
  <c r="AX23" i="25" s="1"/>
  <c r="F19" i="25"/>
  <c r="AX19" i="25" s="1"/>
  <c r="F15" i="25"/>
  <c r="AX15" i="25" s="1"/>
  <c r="F125" i="25"/>
  <c r="F117" i="25"/>
  <c r="F113" i="25"/>
  <c r="F85" i="25"/>
  <c r="AX85" i="25" s="1"/>
  <c r="F77" i="25"/>
  <c r="AX77" i="25" s="1"/>
  <c r="F73" i="25"/>
  <c r="AX73" i="25" s="1"/>
  <c r="F65" i="25"/>
  <c r="AX65" i="25" s="1"/>
  <c r="F61" i="25"/>
  <c r="AX61" i="25" s="1"/>
  <c r="F57" i="25"/>
  <c r="AX57" i="25" s="1"/>
  <c r="F49" i="25"/>
  <c r="AX49" i="25" s="1"/>
  <c r="F33" i="25"/>
  <c r="AX33" i="25" s="1"/>
  <c r="F29" i="25"/>
  <c r="AX29" i="25" s="1"/>
  <c r="F25" i="25"/>
  <c r="AX25" i="25" s="1"/>
  <c r="F17" i="25"/>
  <c r="AX17" i="25" s="1"/>
  <c r="F13" i="25"/>
  <c r="AX13" i="25" s="1"/>
  <c r="F11" i="25"/>
  <c r="AX11" i="25" s="1"/>
  <c r="F10" i="25"/>
  <c r="AX10" i="25" s="1"/>
  <c r="F9" i="25"/>
  <c r="AX9" i="25" s="1"/>
  <c r="F8" i="25"/>
  <c r="AX8" i="25" s="1"/>
  <c r="F124" i="25"/>
  <c r="F120" i="25"/>
  <c r="F116" i="25"/>
  <c r="AX116" i="25" s="1"/>
  <c r="F112" i="25"/>
  <c r="F90" i="25"/>
  <c r="AX90" i="25" s="1"/>
  <c r="F86" i="25"/>
  <c r="AX86" i="25" s="1"/>
  <c r="F82" i="25"/>
  <c r="AX82" i="25" s="1"/>
  <c r="F78" i="25"/>
  <c r="AX78" i="25" s="1"/>
  <c r="F74" i="25"/>
  <c r="AX74" i="25" s="1"/>
  <c r="F70" i="25"/>
  <c r="AX70" i="25" s="1"/>
  <c r="F66" i="25"/>
  <c r="AX66" i="25" s="1"/>
  <c r="F62" i="25"/>
  <c r="AX62" i="25" s="1"/>
  <c r="F54" i="25"/>
  <c r="AX54" i="25" s="1"/>
  <c r="F88" i="25"/>
  <c r="AX88" i="25" s="1"/>
  <c r="F84" i="25"/>
  <c r="AX84" i="25" s="1"/>
  <c r="F80" i="25"/>
  <c r="AX80" i="25" s="1"/>
  <c r="F76" i="25"/>
  <c r="AX76" i="25" s="1"/>
  <c r="F72" i="25"/>
  <c r="AX72" i="25" s="1"/>
  <c r="F68" i="25"/>
  <c r="AX68" i="25" s="1"/>
  <c r="F64" i="25"/>
  <c r="AX64" i="25" s="1"/>
  <c r="F60" i="25"/>
  <c r="AX60" i="25" s="1"/>
  <c r="F56" i="25"/>
  <c r="AX56" i="25" s="1"/>
  <c r="F52" i="25"/>
  <c r="AX52" i="25" s="1"/>
  <c r="F48" i="25"/>
  <c r="AX48" i="25" s="1"/>
  <c r="F44" i="25"/>
  <c r="AX44" i="25" s="1"/>
  <c r="F40" i="25"/>
  <c r="AX40" i="25" s="1"/>
  <c r="F32" i="25"/>
  <c r="AX32" i="25" s="1"/>
  <c r="F28" i="25"/>
  <c r="AX28" i="25" s="1"/>
  <c r="F24" i="25"/>
  <c r="AX24" i="25" s="1"/>
  <c r="F20" i="25"/>
  <c r="AX20" i="25" s="1"/>
  <c r="F16" i="25"/>
  <c r="AX16" i="25" s="1"/>
  <c r="F12" i="25"/>
  <c r="AX12" i="25" s="1"/>
  <c r="F121" i="25"/>
  <c r="F89" i="25"/>
  <c r="AX89" i="25" s="1"/>
  <c r="F81" i="25"/>
  <c r="AX81" i="25" s="1"/>
  <c r="F69" i="25"/>
  <c r="AX69" i="25" s="1"/>
  <c r="F53" i="25"/>
  <c r="AX53" i="25" s="1"/>
  <c r="F45" i="25"/>
  <c r="AX45" i="25" s="1"/>
  <c r="F41" i="25"/>
  <c r="AX41" i="25" s="1"/>
  <c r="F21" i="25"/>
  <c r="AX21" i="25" s="1"/>
  <c r="F58" i="25"/>
  <c r="AX58" i="25" s="1"/>
  <c r="F50" i="25"/>
  <c r="AX50" i="25" s="1"/>
  <c r="F46" i="25"/>
  <c r="AX46" i="25" s="1"/>
  <c r="F42" i="25"/>
  <c r="AX42" i="25" s="1"/>
  <c r="F38" i="25"/>
  <c r="AX38" i="25" s="1"/>
  <c r="F37" i="25"/>
  <c r="AX37" i="25" s="1"/>
  <c r="F36" i="25"/>
  <c r="AX36" i="25" s="1"/>
  <c r="F35" i="25"/>
  <c r="AX35" i="25" s="1"/>
  <c r="F34" i="25"/>
  <c r="AX34" i="25" s="1"/>
  <c r="F30" i="25"/>
  <c r="AX30" i="25" s="1"/>
  <c r="F26" i="25"/>
  <c r="AX26" i="25" s="1"/>
  <c r="F22" i="25"/>
  <c r="AX22" i="25" s="1"/>
  <c r="F18" i="25"/>
  <c r="AX18" i="25" s="1"/>
  <c r="F14" i="25"/>
  <c r="AX14" i="25" s="1"/>
  <c r="B85" i="2"/>
  <c r="AW57" i="25" s="1"/>
  <c r="M180" i="24"/>
  <c r="BA180" i="24" s="1"/>
  <c r="K128" i="24"/>
  <c r="K115" i="24"/>
  <c r="B34" i="2"/>
  <c r="B36" i="2" s="1"/>
  <c r="B22" i="2"/>
  <c r="M144" i="24"/>
  <c r="BA144" i="24" s="1"/>
  <c r="M113" i="24"/>
  <c r="BA113" i="24" s="1"/>
  <c r="K116" i="24"/>
  <c r="K179" i="24"/>
  <c r="M200" i="24"/>
  <c r="BA200" i="24" s="1"/>
  <c r="M146" i="24"/>
  <c r="BA146" i="24" s="1"/>
  <c r="K188" i="24"/>
  <c r="M193" i="24"/>
  <c r="BA193" i="24" s="1"/>
  <c r="K161" i="24"/>
  <c r="M129" i="24"/>
  <c r="BA129" i="24" s="1"/>
  <c r="M191" i="24"/>
  <c r="BA191" i="24" s="1"/>
  <c r="K187" i="24"/>
  <c r="M126" i="24"/>
  <c r="BA126" i="24" s="1"/>
  <c r="K167" i="24"/>
  <c r="M209" i="24"/>
  <c r="BA209" i="24" s="1"/>
  <c r="K208" i="24"/>
  <c r="K210" i="24"/>
  <c r="M166" i="24"/>
  <c r="BA166" i="24" s="1"/>
  <c r="M120" i="24"/>
  <c r="BA120" i="24" s="1"/>
  <c r="K177" i="24"/>
  <c r="M158" i="24"/>
  <c r="BA158" i="24" s="1"/>
  <c r="K170" i="24"/>
  <c r="K148" i="24"/>
  <c r="K145" i="24"/>
  <c r="M135" i="24"/>
  <c r="BA135" i="24" s="1"/>
  <c r="F17" i="23"/>
  <c r="J17" i="23" s="1"/>
  <c r="M176" i="24"/>
  <c r="BA176" i="24" s="1"/>
  <c r="M156" i="24"/>
  <c r="BA156" i="24" s="1"/>
  <c r="M118" i="24"/>
  <c r="BA118" i="24" s="1"/>
  <c r="K137" i="24"/>
  <c r="M132" i="24"/>
  <c r="BA132" i="24" s="1"/>
  <c r="K136" i="24"/>
  <c r="K201" i="24"/>
  <c r="I33" i="23"/>
  <c r="M114" i="24"/>
  <c r="BA114" i="24" s="1"/>
  <c r="K194" i="24"/>
  <c r="K206" i="24"/>
  <c r="K163" i="24"/>
  <c r="F54" i="23"/>
  <c r="J54" i="23" s="1"/>
  <c r="M130" i="24"/>
  <c r="BA130" i="24" s="1"/>
  <c r="K192" i="24"/>
  <c r="K199" i="24"/>
  <c r="K196" i="24"/>
  <c r="M151" i="24"/>
  <c r="BA151" i="24" s="1"/>
  <c r="K172" i="24"/>
  <c r="K123" i="24"/>
  <c r="M175" i="24"/>
  <c r="BA175" i="24" s="1"/>
  <c r="K165" i="24"/>
  <c r="K181" i="24"/>
  <c r="K154" i="24"/>
  <c r="M117" i="24"/>
  <c r="BA117" i="24" s="1"/>
  <c r="M124" i="24"/>
  <c r="BA124" i="24" s="1"/>
  <c r="K142" i="24"/>
  <c r="I9" i="23"/>
  <c r="I70" i="23"/>
  <c r="M168" i="24"/>
  <c r="BA168" i="24" s="1"/>
  <c r="M197" i="24"/>
  <c r="BA197" i="24" s="1"/>
  <c r="K134" i="24"/>
  <c r="K182" i="24"/>
  <c r="F32" i="23"/>
  <c r="J32" i="23" s="1"/>
  <c r="F49" i="23"/>
  <c r="G49" i="23" s="1"/>
  <c r="H49" i="23" s="1"/>
  <c r="M153" i="24"/>
  <c r="BA153" i="24" s="1"/>
  <c r="K131" i="24"/>
  <c r="M178" i="24"/>
  <c r="BA178" i="24" s="1"/>
  <c r="K125" i="24"/>
  <c r="M202" i="24"/>
  <c r="BA202" i="24" s="1"/>
  <c r="F103" i="23"/>
  <c r="G103" i="23" s="1"/>
  <c r="H103" i="23" s="1"/>
  <c r="F53" i="23"/>
  <c r="J53" i="23" s="1"/>
  <c r="K169" i="24"/>
  <c r="M198" i="24"/>
  <c r="BA198" i="24" s="1"/>
  <c r="K150" i="24"/>
  <c r="K119" i="24"/>
  <c r="K110" i="24"/>
  <c r="K152" i="24"/>
  <c r="I16" i="23"/>
  <c r="F46" i="23"/>
  <c r="J46" i="23" s="1"/>
  <c r="I43" i="23"/>
  <c r="I36" i="23"/>
  <c r="F67" i="23"/>
  <c r="G67" i="23" s="1"/>
  <c r="H67" i="23" s="1"/>
  <c r="K155" i="24"/>
  <c r="K159" i="24"/>
  <c r="M127" i="24"/>
  <c r="BA127" i="24" s="1"/>
  <c r="M121" i="24"/>
  <c r="BA121" i="24" s="1"/>
  <c r="M147" i="24"/>
  <c r="BA147" i="24" s="1"/>
  <c r="M190" i="24"/>
  <c r="BA190" i="24" s="1"/>
  <c r="M173" i="24"/>
  <c r="BA173" i="24" s="1"/>
  <c r="M164" i="24"/>
  <c r="BA164" i="24" s="1"/>
  <c r="K162" i="24"/>
  <c r="I59" i="23"/>
  <c r="F30" i="23"/>
  <c r="J30" i="23" s="1"/>
  <c r="F88" i="23"/>
  <c r="G88" i="23" s="1"/>
  <c r="H88" i="23" s="1"/>
  <c r="I78" i="23"/>
  <c r="K122" i="24"/>
  <c r="M185" i="24"/>
  <c r="BA185" i="24" s="1"/>
  <c r="M140" i="24"/>
  <c r="BA140" i="24" s="1"/>
  <c r="M189" i="24"/>
  <c r="BA189" i="24" s="1"/>
  <c r="I27" i="23"/>
  <c r="I75" i="23"/>
  <c r="F73" i="23"/>
  <c r="J73" i="23" s="1"/>
  <c r="F71" i="23"/>
  <c r="J71" i="23" s="1"/>
  <c r="I48" i="23"/>
  <c r="F84" i="23"/>
  <c r="G84" i="23" s="1"/>
  <c r="H84" i="23" s="1"/>
  <c r="F6" i="23"/>
  <c r="J6" i="23" s="1"/>
  <c r="F25" i="23"/>
  <c r="J25" i="23" s="1"/>
  <c r="I23" i="23"/>
  <c r="F60" i="23"/>
  <c r="G60" i="23" s="1"/>
  <c r="H60" i="23" s="1"/>
  <c r="I38" i="23"/>
  <c r="I62" i="23"/>
  <c r="K149" i="24"/>
  <c r="M111" i="24"/>
  <c r="BA111" i="24" s="1"/>
  <c r="M138" i="24"/>
  <c r="BA138" i="24" s="1"/>
  <c r="K112" i="24"/>
  <c r="K207" i="24"/>
  <c r="M171" i="24"/>
  <c r="BA171" i="24" s="1"/>
  <c r="K157" i="24"/>
  <c r="M184" i="24"/>
  <c r="BA184" i="24" s="1"/>
  <c r="K203" i="24"/>
  <c r="M133" i="24"/>
  <c r="BA133" i="24" s="1"/>
  <c r="M143" i="24"/>
  <c r="BA143" i="24" s="1"/>
  <c r="F105" i="23"/>
  <c r="J105" i="23" s="1"/>
  <c r="F94" i="23"/>
  <c r="J94" i="23" s="1"/>
  <c r="I41" i="23"/>
  <c r="F92" i="23"/>
  <c r="J92" i="23" s="1"/>
  <c r="M204" i="24"/>
  <c r="BA204" i="24" s="1"/>
  <c r="M139" i="24"/>
  <c r="BA139" i="24" s="1"/>
  <c r="M174" i="24"/>
  <c r="BA174" i="24" s="1"/>
  <c r="M160" i="24"/>
  <c r="BA160" i="24" s="1"/>
  <c r="K205" i="24"/>
  <c r="M195" i="24"/>
  <c r="BA195" i="24" s="1"/>
  <c r="M141" i="24"/>
  <c r="BA141" i="24" s="1"/>
  <c r="A219" i="2"/>
  <c r="C219" i="2"/>
  <c r="I11" i="23"/>
  <c r="F101" i="23"/>
  <c r="J101" i="23" s="1"/>
  <c r="F20" i="23"/>
  <c r="G20" i="23" s="1"/>
  <c r="H20" i="23" s="1"/>
  <c r="F81" i="23"/>
  <c r="J81" i="23" s="1"/>
  <c r="F14" i="23"/>
  <c r="J14" i="23" s="1"/>
  <c r="F22" i="23"/>
  <c r="J22" i="23" s="1"/>
  <c r="F63" i="23"/>
  <c r="G63" i="23" s="1"/>
  <c r="H63" i="23" s="1"/>
  <c r="K186" i="24"/>
  <c r="K183" i="24"/>
  <c r="F220" i="24"/>
  <c r="F224" i="24"/>
  <c r="F228" i="24"/>
  <c r="F232" i="24"/>
  <c r="F236" i="24"/>
  <c r="F240" i="24"/>
  <c r="F244" i="24"/>
  <c r="F248" i="24"/>
  <c r="F252" i="24"/>
  <c r="F256" i="24"/>
  <c r="F260" i="24"/>
  <c r="F264" i="24"/>
  <c r="F268" i="24"/>
  <c r="F272" i="24"/>
  <c r="F276" i="24"/>
  <c r="F280" i="24"/>
  <c r="F284" i="24"/>
  <c r="F288" i="24"/>
  <c r="F292" i="24"/>
  <c r="F296" i="24"/>
  <c r="F300" i="24"/>
  <c r="BB300" i="24" s="1"/>
  <c r="F304" i="24"/>
  <c r="F308" i="24"/>
  <c r="BB308" i="24" s="1"/>
  <c r="F312" i="24"/>
  <c r="F316" i="24"/>
  <c r="F132" i="24"/>
  <c r="BB132" i="24" s="1"/>
  <c r="F136" i="24"/>
  <c r="F140" i="24"/>
  <c r="F144" i="24"/>
  <c r="F148" i="24"/>
  <c r="F152" i="24"/>
  <c r="BB152" i="24" s="1"/>
  <c r="F156" i="24"/>
  <c r="F160" i="24"/>
  <c r="F164" i="24"/>
  <c r="BB164" i="24" s="1"/>
  <c r="F168" i="24"/>
  <c r="BB168" i="24" s="1"/>
  <c r="F172" i="24"/>
  <c r="F176" i="24"/>
  <c r="F180" i="24"/>
  <c r="F184" i="24"/>
  <c r="BB184" i="24" s="1"/>
  <c r="F188" i="24"/>
  <c r="F192" i="24"/>
  <c r="BB192" i="24" s="1"/>
  <c r="F196" i="24"/>
  <c r="F200" i="24"/>
  <c r="BB200" i="24" s="1"/>
  <c r="F204" i="24"/>
  <c r="F208" i="24"/>
  <c r="BB208" i="24" s="1"/>
  <c r="F114" i="24"/>
  <c r="F118" i="24"/>
  <c r="BB118" i="24" s="1"/>
  <c r="F122" i="24"/>
  <c r="F126" i="24"/>
  <c r="BB126" i="24" s="1"/>
  <c r="F130" i="24"/>
  <c r="F157" i="24"/>
  <c r="F161" i="24"/>
  <c r="F169" i="24"/>
  <c r="F177" i="24"/>
  <c r="F181" i="24"/>
  <c r="BB181" i="24" s="1"/>
  <c r="F189" i="24"/>
  <c r="F193" i="24"/>
  <c r="F201" i="24"/>
  <c r="F205" i="24"/>
  <c r="F115" i="24"/>
  <c r="F119" i="24"/>
  <c r="F127" i="24"/>
  <c r="F112" i="24"/>
  <c r="F194" i="24"/>
  <c r="F206" i="24"/>
  <c r="BB206" i="24" s="1"/>
  <c r="F210" i="24"/>
  <c r="F124" i="24"/>
  <c r="F128" i="24"/>
  <c r="F223" i="24"/>
  <c r="F235" i="24"/>
  <c r="F247" i="24"/>
  <c r="F259" i="24"/>
  <c r="F271" i="24"/>
  <c r="F275" i="24"/>
  <c r="F287" i="24"/>
  <c r="F299" i="24"/>
  <c r="F303" i="24"/>
  <c r="F315" i="24"/>
  <c r="F218" i="24"/>
  <c r="F135" i="24"/>
  <c r="F143" i="24"/>
  <c r="F151" i="24"/>
  <c r="F159" i="24"/>
  <c r="F171" i="24"/>
  <c r="F175" i="24"/>
  <c r="F221" i="24"/>
  <c r="F225" i="24"/>
  <c r="F229" i="24"/>
  <c r="F233" i="24"/>
  <c r="F237" i="24"/>
  <c r="F241" i="24"/>
  <c r="F245" i="24"/>
  <c r="F249" i="24"/>
  <c r="F253" i="24"/>
  <c r="F257" i="24"/>
  <c r="F261" i="24"/>
  <c r="F265" i="24"/>
  <c r="BB265" i="24" s="1"/>
  <c r="F269" i="24"/>
  <c r="F273" i="24"/>
  <c r="F277" i="24"/>
  <c r="F281" i="24"/>
  <c r="F285" i="24"/>
  <c r="F289" i="24"/>
  <c r="F293" i="24"/>
  <c r="F297" i="24"/>
  <c r="BB297" i="24" s="1"/>
  <c r="F301" i="24"/>
  <c r="F305" i="24"/>
  <c r="F309" i="24"/>
  <c r="F313" i="24"/>
  <c r="F317" i="24"/>
  <c r="F133" i="24"/>
  <c r="F137" i="24"/>
  <c r="F141" i="24"/>
  <c r="F145" i="24"/>
  <c r="F149" i="24"/>
  <c r="F153" i="24"/>
  <c r="F165" i="24"/>
  <c r="F173" i="24"/>
  <c r="F185" i="24"/>
  <c r="F197" i="24"/>
  <c r="F209" i="24"/>
  <c r="F123" i="24"/>
  <c r="F190" i="24"/>
  <c r="BB190" i="24" s="1"/>
  <c r="F198" i="24"/>
  <c r="F116" i="24"/>
  <c r="F231" i="24"/>
  <c r="F239" i="24"/>
  <c r="BB239" i="24" s="1"/>
  <c r="F255" i="24"/>
  <c r="F267" i="24"/>
  <c r="BB267" i="24" s="1"/>
  <c r="F279" i="24"/>
  <c r="F291" i="24"/>
  <c r="F307" i="24"/>
  <c r="F139" i="24"/>
  <c r="BB139" i="24" s="1"/>
  <c r="F155" i="24"/>
  <c r="F167" i="24"/>
  <c r="F183" i="24"/>
  <c r="F222" i="24"/>
  <c r="F226" i="24"/>
  <c r="F230" i="24"/>
  <c r="F234" i="24"/>
  <c r="F238" i="24"/>
  <c r="F242" i="24"/>
  <c r="F246" i="24"/>
  <c r="BB246" i="24" s="1"/>
  <c r="F250" i="24"/>
  <c r="F254" i="24"/>
  <c r="BB254" i="24" s="1"/>
  <c r="F258" i="24"/>
  <c r="F262" i="24"/>
  <c r="F266" i="24"/>
  <c r="F270" i="24"/>
  <c r="F274" i="24"/>
  <c r="F278" i="24"/>
  <c r="BB278" i="24" s="1"/>
  <c r="F282" i="24"/>
  <c r="F286" i="24"/>
  <c r="F290" i="24"/>
  <c r="F294" i="24"/>
  <c r="F298" i="24"/>
  <c r="F302" i="24"/>
  <c r="F306" i="24"/>
  <c r="F310" i="24"/>
  <c r="F314" i="24"/>
  <c r="F219" i="24"/>
  <c r="F134" i="24"/>
  <c r="BB134" i="24" s="1"/>
  <c r="F138" i="24"/>
  <c r="F142" i="24"/>
  <c r="F146" i="24"/>
  <c r="F150" i="24"/>
  <c r="F154" i="24"/>
  <c r="BB154" i="24" s="1"/>
  <c r="F158" i="24"/>
  <c r="BB158" i="24" s="1"/>
  <c r="F162" i="24"/>
  <c r="F166" i="24"/>
  <c r="F170" i="24"/>
  <c r="BB170" i="24" s="1"/>
  <c r="F174" i="24"/>
  <c r="F178" i="24"/>
  <c r="F182" i="24"/>
  <c r="F186" i="24"/>
  <c r="F202" i="24"/>
  <c r="F120" i="24"/>
  <c r="F111" i="24"/>
  <c r="F227" i="24"/>
  <c r="F243" i="24"/>
  <c r="F251" i="24"/>
  <c r="F263" i="24"/>
  <c r="F283" i="24"/>
  <c r="BB283" i="24" s="1"/>
  <c r="F295" i="24"/>
  <c r="F311" i="24"/>
  <c r="F131" i="24"/>
  <c r="F147" i="24"/>
  <c r="F163" i="24"/>
  <c r="F179" i="24"/>
  <c r="F191" i="24"/>
  <c r="BB191" i="24" s="1"/>
  <c r="F207" i="24"/>
  <c r="F125" i="24"/>
  <c r="F129" i="24"/>
  <c r="F121" i="24"/>
  <c r="F195" i="24"/>
  <c r="F113" i="24"/>
  <c r="F203" i="24"/>
  <c r="F199" i="24"/>
  <c r="F117" i="24"/>
  <c r="F187" i="24"/>
  <c r="I99" i="23"/>
  <c r="F80" i="23"/>
  <c r="J80" i="23" s="1"/>
  <c r="I31" i="23"/>
  <c r="I96" i="23"/>
  <c r="F77" i="23"/>
  <c r="G77" i="23" s="1"/>
  <c r="H77" i="23" s="1"/>
  <c r="I56" i="23"/>
  <c r="I86" i="23"/>
  <c r="K313" i="24"/>
  <c r="M313" i="24"/>
  <c r="N313" i="24" s="1"/>
  <c r="K277" i="24"/>
  <c r="M277" i="24"/>
  <c r="N277" i="24" s="1"/>
  <c r="K245" i="24"/>
  <c r="M245" i="24"/>
  <c r="N245" i="24" s="1"/>
  <c r="M316" i="24"/>
  <c r="N316" i="24" s="1"/>
  <c r="K316" i="24"/>
  <c r="M280" i="24"/>
  <c r="N280" i="24" s="1"/>
  <c r="Q280" i="24" s="1"/>
  <c r="K280" i="24"/>
  <c r="K248" i="24"/>
  <c r="M248" i="24"/>
  <c r="N248" i="24" s="1"/>
  <c r="M224" i="24"/>
  <c r="N224" i="24" s="1"/>
  <c r="K224" i="24"/>
  <c r="K303" i="24"/>
  <c r="M303" i="24"/>
  <c r="N303" i="24" s="1"/>
  <c r="K287" i="24"/>
  <c r="M287" i="24"/>
  <c r="N287" i="24" s="1"/>
  <c r="M271" i="24"/>
  <c r="N271" i="24" s="1"/>
  <c r="K271" i="24"/>
  <c r="M255" i="24"/>
  <c r="N255" i="24" s="1"/>
  <c r="K255" i="24"/>
  <c r="M239" i="24"/>
  <c r="N239" i="24" s="1"/>
  <c r="K239" i="24"/>
  <c r="K223" i="24"/>
  <c r="M223" i="24"/>
  <c r="N223" i="24" s="1"/>
  <c r="K297" i="24"/>
  <c r="M297" i="24"/>
  <c r="N297" i="24" s="1"/>
  <c r="M265" i="24"/>
  <c r="N265" i="24" s="1"/>
  <c r="K265" i="24"/>
  <c r="M233" i="24"/>
  <c r="N233" i="24" s="1"/>
  <c r="K233" i="24"/>
  <c r="M300" i="24"/>
  <c r="N300" i="24" s="1"/>
  <c r="K300" i="24"/>
  <c r="M268" i="24"/>
  <c r="N268" i="24" s="1"/>
  <c r="K268" i="24"/>
  <c r="K236" i="24"/>
  <c r="M236" i="24"/>
  <c r="N236" i="24" s="1"/>
  <c r="Q236" i="24" s="1"/>
  <c r="K310" i="24"/>
  <c r="M310" i="24"/>
  <c r="N310" i="24" s="1"/>
  <c r="K294" i="24"/>
  <c r="M294" i="24"/>
  <c r="N294" i="24" s="1"/>
  <c r="K278" i="24"/>
  <c r="M278" i="24"/>
  <c r="N278" i="24" s="1"/>
  <c r="M262" i="24"/>
  <c r="N262" i="24" s="1"/>
  <c r="K262" i="24"/>
  <c r="M246" i="24"/>
  <c r="N246" i="24" s="1"/>
  <c r="K246" i="24"/>
  <c r="M230" i="24"/>
  <c r="N230" i="24" s="1"/>
  <c r="K230" i="24"/>
  <c r="M305" i="24"/>
  <c r="N305" i="24" s="1"/>
  <c r="K305" i="24"/>
  <c r="K269" i="24"/>
  <c r="M269" i="24"/>
  <c r="N269" i="24" s="1"/>
  <c r="K237" i="24"/>
  <c r="M237" i="24"/>
  <c r="N237" i="24" s="1"/>
  <c r="M308" i="24"/>
  <c r="N308" i="24" s="1"/>
  <c r="K308" i="24"/>
  <c r="K272" i="24"/>
  <c r="M272" i="24"/>
  <c r="N272" i="24" s="1"/>
  <c r="M240" i="24"/>
  <c r="N240" i="24" s="1"/>
  <c r="K240" i="24"/>
  <c r="K315" i="24"/>
  <c r="M315" i="24"/>
  <c r="N315" i="24" s="1"/>
  <c r="K299" i="24"/>
  <c r="M299" i="24"/>
  <c r="N299" i="24" s="1"/>
  <c r="K283" i="24"/>
  <c r="M283" i="24"/>
  <c r="N283" i="24" s="1"/>
  <c r="M267" i="24"/>
  <c r="N267" i="24" s="1"/>
  <c r="K267" i="24"/>
  <c r="K251" i="24"/>
  <c r="M251" i="24"/>
  <c r="N251" i="24" s="1"/>
  <c r="K235" i="24"/>
  <c r="M235" i="24"/>
  <c r="N235" i="24" s="1"/>
  <c r="M219" i="24"/>
  <c r="N219" i="24" s="1"/>
  <c r="K219" i="24"/>
  <c r="M289" i="24"/>
  <c r="N289" i="24" s="1"/>
  <c r="K289" i="24"/>
  <c r="K257" i="24"/>
  <c r="M257" i="24"/>
  <c r="N257" i="24" s="1"/>
  <c r="Q257" i="24" s="1"/>
  <c r="K225" i="24"/>
  <c r="M225" i="24"/>
  <c r="N225" i="24" s="1"/>
  <c r="K292" i="24"/>
  <c r="M292" i="24"/>
  <c r="N292" i="24" s="1"/>
  <c r="Q292" i="24" s="1"/>
  <c r="M260" i="24"/>
  <c r="N260" i="24" s="1"/>
  <c r="K260" i="24"/>
  <c r="K220" i="24"/>
  <c r="M220" i="24"/>
  <c r="N220" i="24" s="1"/>
  <c r="K306" i="24"/>
  <c r="M306" i="24"/>
  <c r="N306" i="24" s="1"/>
  <c r="M290" i="24"/>
  <c r="N290" i="24" s="1"/>
  <c r="Q290" i="24" s="1"/>
  <c r="K290" i="24"/>
  <c r="K274" i="24"/>
  <c r="M274" i="24"/>
  <c r="N274" i="24" s="1"/>
  <c r="M258" i="24"/>
  <c r="N258" i="24" s="1"/>
  <c r="K258" i="24"/>
  <c r="M242" i="24"/>
  <c r="N242" i="24" s="1"/>
  <c r="K242" i="24"/>
  <c r="M226" i="24"/>
  <c r="N226" i="24" s="1"/>
  <c r="Q226" i="24" s="1"/>
  <c r="K226" i="24"/>
  <c r="M293" i="24"/>
  <c r="N293" i="24" s="1"/>
  <c r="K293" i="24"/>
  <c r="M261" i="24"/>
  <c r="N261" i="24" s="1"/>
  <c r="K261" i="24"/>
  <c r="M229" i="24"/>
  <c r="N229" i="24" s="1"/>
  <c r="Q229" i="24" s="1"/>
  <c r="K229" i="24"/>
  <c r="M296" i="24"/>
  <c r="N296" i="24" s="1"/>
  <c r="K296" i="24"/>
  <c r="M264" i="24"/>
  <c r="N264" i="24" s="1"/>
  <c r="Q264" i="24" s="1"/>
  <c r="K264" i="24"/>
  <c r="K232" i="24"/>
  <c r="M232" i="24"/>
  <c r="N232" i="24" s="1"/>
  <c r="K311" i="24"/>
  <c r="M311" i="24"/>
  <c r="N311" i="24" s="1"/>
  <c r="K295" i="24"/>
  <c r="M295" i="24"/>
  <c r="N295" i="24" s="1"/>
  <c r="M279" i="24"/>
  <c r="N279" i="24" s="1"/>
  <c r="K279" i="24"/>
  <c r="K263" i="24"/>
  <c r="M263" i="24"/>
  <c r="N263" i="24" s="1"/>
  <c r="K247" i="24"/>
  <c r="M247" i="24"/>
  <c r="N247" i="24" s="1"/>
  <c r="M231" i="24"/>
  <c r="N231" i="24" s="1"/>
  <c r="K231" i="24"/>
  <c r="K309" i="24"/>
  <c r="M309" i="24"/>
  <c r="N309" i="24" s="1"/>
  <c r="M281" i="24"/>
  <c r="N281" i="24" s="1"/>
  <c r="K281" i="24"/>
  <c r="K249" i="24"/>
  <c r="M249" i="24"/>
  <c r="N249" i="24" s="1"/>
  <c r="K312" i="24"/>
  <c r="M312" i="24"/>
  <c r="N312" i="24" s="1"/>
  <c r="K284" i="24"/>
  <c r="M284" i="24"/>
  <c r="N284" i="24" s="1"/>
  <c r="K252" i="24"/>
  <c r="M252" i="24"/>
  <c r="N252" i="24" s="1"/>
  <c r="K217" i="24"/>
  <c r="M217" i="24"/>
  <c r="BB217" i="24" s="1"/>
  <c r="K302" i="24"/>
  <c r="M302" i="24"/>
  <c r="N302" i="24" s="1"/>
  <c r="M286" i="24"/>
  <c r="N286" i="24" s="1"/>
  <c r="K286" i="24"/>
  <c r="K270" i="24"/>
  <c r="M270" i="24"/>
  <c r="N270" i="24" s="1"/>
  <c r="M254" i="24"/>
  <c r="N254" i="24" s="1"/>
  <c r="K254" i="24"/>
  <c r="K238" i="24"/>
  <c r="M238" i="24"/>
  <c r="N238" i="24" s="1"/>
  <c r="M222" i="24"/>
  <c r="N222" i="24" s="1"/>
  <c r="K222" i="24"/>
  <c r="I98" i="23"/>
  <c r="K317" i="24"/>
  <c r="M317" i="24"/>
  <c r="N317" i="24" s="1"/>
  <c r="K285" i="24"/>
  <c r="M285" i="24"/>
  <c r="N285" i="24" s="1"/>
  <c r="M253" i="24"/>
  <c r="N253" i="24" s="1"/>
  <c r="K253" i="24"/>
  <c r="M221" i="24"/>
  <c r="N221" i="24" s="1"/>
  <c r="K221" i="24"/>
  <c r="M288" i="24"/>
  <c r="N288" i="24" s="1"/>
  <c r="K288" i="24"/>
  <c r="K256" i="24"/>
  <c r="M256" i="24"/>
  <c r="N256" i="24" s="1"/>
  <c r="Q256" i="24" s="1"/>
  <c r="K228" i="24"/>
  <c r="M228" i="24"/>
  <c r="N228" i="24" s="1"/>
  <c r="K307" i="24"/>
  <c r="M307" i="24"/>
  <c r="N307" i="24" s="1"/>
  <c r="M291" i="24"/>
  <c r="N291" i="24" s="1"/>
  <c r="K291" i="24"/>
  <c r="K275" i="24"/>
  <c r="M275" i="24"/>
  <c r="N275" i="24" s="1"/>
  <c r="Q275" i="24" s="1"/>
  <c r="M259" i="24"/>
  <c r="N259" i="24" s="1"/>
  <c r="K259" i="24"/>
  <c r="M243" i="24"/>
  <c r="N243" i="24" s="1"/>
  <c r="K243" i="24"/>
  <c r="M227" i="24"/>
  <c r="N227" i="24" s="1"/>
  <c r="K227" i="24"/>
  <c r="K301" i="24"/>
  <c r="M301" i="24"/>
  <c r="N301" i="24" s="1"/>
  <c r="Q301" i="24" s="1"/>
  <c r="M273" i="24"/>
  <c r="N273" i="24" s="1"/>
  <c r="Q273" i="24" s="1"/>
  <c r="K273" i="24"/>
  <c r="K241" i="24"/>
  <c r="M241" i="24"/>
  <c r="N241" i="24" s="1"/>
  <c r="K304" i="24"/>
  <c r="M304" i="24"/>
  <c r="N304" i="24" s="1"/>
  <c r="K276" i="24"/>
  <c r="M276" i="24"/>
  <c r="N276" i="24" s="1"/>
  <c r="M244" i="24"/>
  <c r="N244" i="24" s="1"/>
  <c r="K244" i="24"/>
  <c r="K314" i="24"/>
  <c r="M314" i="24"/>
  <c r="N314" i="24" s="1"/>
  <c r="M298" i="24"/>
  <c r="N298" i="24" s="1"/>
  <c r="K298" i="24"/>
  <c r="M282" i="24"/>
  <c r="N282" i="24" s="1"/>
  <c r="K282" i="24"/>
  <c r="K266" i="24"/>
  <c r="M266" i="24"/>
  <c r="N266" i="24" s="1"/>
  <c r="Q266" i="24" s="1"/>
  <c r="K250" i="24"/>
  <c r="M250" i="24"/>
  <c r="N250" i="24" s="1"/>
  <c r="K234" i="24"/>
  <c r="M234" i="24"/>
  <c r="N234" i="24" s="1"/>
  <c r="K218" i="24"/>
  <c r="M218" i="24"/>
  <c r="N218" i="24" s="1"/>
  <c r="H109" i="19"/>
  <c r="H110" i="19" s="1"/>
  <c r="F6" i="24"/>
  <c r="F10" i="24"/>
  <c r="F14" i="24"/>
  <c r="F18" i="24"/>
  <c r="F22" i="24"/>
  <c r="F26" i="24"/>
  <c r="F30" i="24"/>
  <c r="F34" i="24"/>
  <c r="F38" i="24"/>
  <c r="F42" i="24"/>
  <c r="F46" i="24"/>
  <c r="F50" i="24"/>
  <c r="F54" i="24"/>
  <c r="F58" i="24"/>
  <c r="F62" i="24"/>
  <c r="F66" i="24"/>
  <c r="F70" i="24"/>
  <c r="F74" i="24"/>
  <c r="F78" i="24"/>
  <c r="F82" i="24"/>
  <c r="F86" i="24"/>
  <c r="F90" i="24"/>
  <c r="F94" i="24"/>
  <c r="F98" i="24"/>
  <c r="F102" i="24"/>
  <c r="F41" i="24"/>
  <c r="F53" i="24"/>
  <c r="F69" i="24"/>
  <c r="F81" i="24"/>
  <c r="F93" i="24"/>
  <c r="F7" i="24"/>
  <c r="F11" i="24"/>
  <c r="F15" i="24"/>
  <c r="F19" i="24"/>
  <c r="F23" i="24"/>
  <c r="F27" i="24"/>
  <c r="F31" i="24"/>
  <c r="F35" i="24"/>
  <c r="F39" i="24"/>
  <c r="F43" i="24"/>
  <c r="F47" i="24"/>
  <c r="F51" i="24"/>
  <c r="F55" i="24"/>
  <c r="F59" i="24"/>
  <c r="F63" i="24"/>
  <c r="F67" i="24"/>
  <c r="F71" i="24"/>
  <c r="F75" i="24"/>
  <c r="F79" i="24"/>
  <c r="F83" i="24"/>
  <c r="F87" i="24"/>
  <c r="F91" i="24"/>
  <c r="F95" i="24"/>
  <c r="F99" i="24"/>
  <c r="F103" i="24"/>
  <c r="F37" i="24"/>
  <c r="F61" i="24"/>
  <c r="F73" i="24"/>
  <c r="F89" i="24"/>
  <c r="F101" i="24"/>
  <c r="F8" i="24"/>
  <c r="F12" i="24"/>
  <c r="F16" i="24"/>
  <c r="F20" i="24"/>
  <c r="F24" i="24"/>
  <c r="F28" i="24"/>
  <c r="F32" i="24"/>
  <c r="F36" i="24"/>
  <c r="F40" i="24"/>
  <c r="F44" i="24"/>
  <c r="F48" i="24"/>
  <c r="F52" i="24"/>
  <c r="F56" i="24"/>
  <c r="F60" i="24"/>
  <c r="F64" i="24"/>
  <c r="F68" i="24"/>
  <c r="F72" i="24"/>
  <c r="F76" i="24"/>
  <c r="F80" i="24"/>
  <c r="F84" i="24"/>
  <c r="F88" i="24"/>
  <c r="F92" i="24"/>
  <c r="F96" i="24"/>
  <c r="F100" i="24"/>
  <c r="F104" i="24"/>
  <c r="F9" i="24"/>
  <c r="F13" i="24"/>
  <c r="F17" i="24"/>
  <c r="F21" i="24"/>
  <c r="F25" i="24"/>
  <c r="F29" i="24"/>
  <c r="F33" i="24"/>
  <c r="F45" i="24"/>
  <c r="F49" i="24"/>
  <c r="F57" i="24"/>
  <c r="F65" i="24"/>
  <c r="F77" i="24"/>
  <c r="F85" i="24"/>
  <c r="F97" i="24"/>
  <c r="F105" i="24"/>
  <c r="F52" i="23"/>
  <c r="J52" i="23" s="1"/>
  <c r="F102" i="23"/>
  <c r="J102" i="23" s="1"/>
  <c r="J79" i="23"/>
  <c r="J7" i="23"/>
  <c r="J106" i="23"/>
  <c r="I87" i="23"/>
  <c r="I8" i="23"/>
  <c r="I106" i="23"/>
  <c r="J31" i="23"/>
  <c r="J99" i="23"/>
  <c r="J56" i="23"/>
  <c r="J27" i="23"/>
  <c r="J96" i="23"/>
  <c r="J86" i="23"/>
  <c r="J70" i="23"/>
  <c r="J38" i="23"/>
  <c r="J33" i="23"/>
  <c r="J69" i="23"/>
  <c r="J89" i="23"/>
  <c r="J44" i="23"/>
  <c r="F12" i="23"/>
  <c r="J12" i="23" s="1"/>
  <c r="J39" i="23"/>
  <c r="I76" i="23"/>
  <c r="J76" i="23"/>
  <c r="F24" i="23"/>
  <c r="G24" i="23" s="1"/>
  <c r="H24" i="23" s="1"/>
  <c r="J98" i="23"/>
  <c r="I50" i="23"/>
  <c r="F34" i="23"/>
  <c r="J34" i="23" s="1"/>
  <c r="F13" i="23"/>
  <c r="J13" i="23" s="1"/>
  <c r="F85" i="23"/>
  <c r="J85" i="23" s="1"/>
  <c r="F87" i="23"/>
  <c r="J87" i="23" s="1"/>
  <c r="I55" i="23"/>
  <c r="F26" i="23"/>
  <c r="J26" i="23" s="1"/>
  <c r="F61" i="23"/>
  <c r="J61" i="23" s="1"/>
  <c r="I90" i="23"/>
  <c r="J59" i="23"/>
  <c r="J36" i="23"/>
  <c r="J43" i="23"/>
  <c r="J11" i="23"/>
  <c r="J75" i="23"/>
  <c r="J23" i="23"/>
  <c r="J48" i="23"/>
  <c r="J16" i="23"/>
  <c r="J78" i="23"/>
  <c r="J62" i="23"/>
  <c r="J41" i="23"/>
  <c r="J9" i="23"/>
  <c r="N91" i="23"/>
  <c r="O91" i="23" s="1"/>
  <c r="P91" i="23" s="1"/>
  <c r="N47" i="23"/>
  <c r="O47" i="23" s="1"/>
  <c r="P47" i="23" s="1"/>
  <c r="N100" i="23"/>
  <c r="O100" i="23" s="1"/>
  <c r="P100" i="23" s="1"/>
  <c r="N79" i="23"/>
  <c r="O79" i="23" s="1"/>
  <c r="P79" i="23" s="1"/>
  <c r="N57" i="23"/>
  <c r="O57" i="23" s="1"/>
  <c r="P57" i="23" s="1"/>
  <c r="N28" i="23"/>
  <c r="O28" i="23" s="1"/>
  <c r="P28" i="23" s="1"/>
  <c r="N104" i="23"/>
  <c r="O104" i="23" s="1"/>
  <c r="P104" i="23" s="1"/>
  <c r="N83" i="23"/>
  <c r="O83" i="23" s="1"/>
  <c r="P83" i="23" s="1"/>
  <c r="N61" i="23"/>
  <c r="O61" i="23" s="1"/>
  <c r="P61" i="23" s="1"/>
  <c r="N35" i="23"/>
  <c r="O35" i="23" s="1"/>
  <c r="P35" i="23" s="1"/>
  <c r="N8" i="23"/>
  <c r="O8" i="23" s="1"/>
  <c r="P8" i="23" s="1"/>
  <c r="N64" i="23"/>
  <c r="O64" i="23" s="1"/>
  <c r="P64" i="23" s="1"/>
  <c r="N7" i="23"/>
  <c r="O7" i="23" s="1"/>
  <c r="P7" i="23" s="1"/>
  <c r="N87" i="23"/>
  <c r="O87" i="23" s="1"/>
  <c r="P87" i="23" s="1"/>
  <c r="N65" i="23"/>
  <c r="O65" i="23" s="1"/>
  <c r="P65" i="23" s="1"/>
  <c r="N40" i="23"/>
  <c r="O40" i="23" s="1"/>
  <c r="P40" i="23" s="1"/>
  <c r="N106" i="23"/>
  <c r="O106" i="23" s="1"/>
  <c r="P106" i="23" s="1"/>
  <c r="N90" i="23"/>
  <c r="O90" i="23" s="1"/>
  <c r="P90" i="23" s="1"/>
  <c r="N74" i="23"/>
  <c r="O74" i="23" s="1"/>
  <c r="P74" i="23" s="1"/>
  <c r="N58" i="23"/>
  <c r="O58" i="23" s="1"/>
  <c r="P58" i="23" s="1"/>
  <c r="N42" i="23"/>
  <c r="O42" i="23" s="1"/>
  <c r="P42" i="23" s="1"/>
  <c r="N26" i="23"/>
  <c r="O26" i="23" s="1"/>
  <c r="P26" i="23" s="1"/>
  <c r="N10" i="23"/>
  <c r="O10" i="23" s="1"/>
  <c r="P10" i="23" s="1"/>
  <c r="N37" i="23"/>
  <c r="O37" i="23" s="1"/>
  <c r="P37" i="23" s="1"/>
  <c r="N21" i="23"/>
  <c r="O21" i="23" s="1"/>
  <c r="P21" i="23" s="1"/>
  <c r="I57" i="23"/>
  <c r="F91" i="23"/>
  <c r="J91" i="23" s="1"/>
  <c r="I21" i="23"/>
  <c r="F21" i="23"/>
  <c r="J21" i="23" s="1"/>
  <c r="I40" i="23"/>
  <c r="I104" i="23"/>
  <c r="I42" i="23"/>
  <c r="N80" i="23"/>
  <c r="O80" i="23" s="1"/>
  <c r="P80" i="23" s="1"/>
  <c r="N31" i="23"/>
  <c r="O31" i="23" s="1"/>
  <c r="P31" i="23" s="1"/>
  <c r="N95" i="23"/>
  <c r="O95" i="23" s="1"/>
  <c r="P95" i="23" s="1"/>
  <c r="N73" i="23"/>
  <c r="O73" i="23" s="1"/>
  <c r="P73" i="23" s="1"/>
  <c r="N52" i="23"/>
  <c r="O52" i="23" s="1"/>
  <c r="P52" i="23" s="1"/>
  <c r="N20" i="23"/>
  <c r="O20" i="23" s="1"/>
  <c r="P20" i="23" s="1"/>
  <c r="N99" i="23"/>
  <c r="O99" i="23" s="1"/>
  <c r="P99" i="23" s="1"/>
  <c r="N77" i="23"/>
  <c r="O77" i="23" s="1"/>
  <c r="P77" i="23" s="1"/>
  <c r="N56" i="23"/>
  <c r="O56" i="23" s="1"/>
  <c r="P56" i="23" s="1"/>
  <c r="N27" i="23"/>
  <c r="O27" i="23" s="1"/>
  <c r="P27" i="23" s="1"/>
  <c r="N96" i="23"/>
  <c r="O96" i="23" s="1"/>
  <c r="P96" i="23" s="1"/>
  <c r="N53" i="23"/>
  <c r="O53" i="23" s="1"/>
  <c r="P53" i="23" s="1"/>
  <c r="N103" i="23"/>
  <c r="O103" i="23" s="1"/>
  <c r="P103" i="23" s="1"/>
  <c r="N81" i="23"/>
  <c r="O81" i="23" s="1"/>
  <c r="P81" i="23" s="1"/>
  <c r="N60" i="23"/>
  <c r="O60" i="23" s="1"/>
  <c r="P60" i="23" s="1"/>
  <c r="N32" i="23"/>
  <c r="O32" i="23" s="1"/>
  <c r="P32" i="23" s="1"/>
  <c r="N102" i="23"/>
  <c r="O102" i="23" s="1"/>
  <c r="P102" i="23" s="1"/>
  <c r="N86" i="23"/>
  <c r="O86" i="23" s="1"/>
  <c r="P86" i="23" s="1"/>
  <c r="N70" i="23"/>
  <c r="O70" i="23" s="1"/>
  <c r="P70" i="23" s="1"/>
  <c r="N54" i="23"/>
  <c r="O54" i="23" s="1"/>
  <c r="P54" i="23" s="1"/>
  <c r="N38" i="23"/>
  <c r="O38" i="23" s="1"/>
  <c r="P38" i="23" s="1"/>
  <c r="N22" i="23"/>
  <c r="O22" i="23" s="1"/>
  <c r="P22" i="23" s="1"/>
  <c r="N49" i="23"/>
  <c r="O49" i="23" s="1"/>
  <c r="P49" i="23" s="1"/>
  <c r="N33" i="23"/>
  <c r="O33" i="23" s="1"/>
  <c r="P33" i="23" s="1"/>
  <c r="N17" i="23"/>
  <c r="O17" i="23" s="1"/>
  <c r="P17" i="23" s="1"/>
  <c r="N69" i="23"/>
  <c r="O69" i="23" s="1"/>
  <c r="P69" i="23" s="1"/>
  <c r="N15" i="23"/>
  <c r="O15" i="23" s="1"/>
  <c r="P15" i="23" s="1"/>
  <c r="N89" i="23"/>
  <c r="O89" i="23" s="1"/>
  <c r="P89" i="23" s="1"/>
  <c r="N68" i="23"/>
  <c r="O68" i="23" s="1"/>
  <c r="P68" i="23" s="1"/>
  <c r="N44" i="23"/>
  <c r="O44" i="23" s="1"/>
  <c r="P44" i="23" s="1"/>
  <c r="N12" i="23"/>
  <c r="O12" i="23" s="1"/>
  <c r="P12" i="23" s="1"/>
  <c r="N93" i="23"/>
  <c r="O93" i="23" s="1"/>
  <c r="P93" i="23" s="1"/>
  <c r="N72" i="23"/>
  <c r="O72" i="23" s="1"/>
  <c r="P72" i="23" s="1"/>
  <c r="N51" i="23"/>
  <c r="O51" i="23" s="1"/>
  <c r="P51" i="23" s="1"/>
  <c r="N19" i="23"/>
  <c r="O19" i="23" s="1"/>
  <c r="P19" i="23" s="1"/>
  <c r="N85" i="23"/>
  <c r="O85" i="23" s="1"/>
  <c r="P85" i="23" s="1"/>
  <c r="N39" i="23"/>
  <c r="O39" i="23" s="1"/>
  <c r="P39" i="23" s="1"/>
  <c r="N97" i="23"/>
  <c r="O97" i="23" s="1"/>
  <c r="P97" i="23" s="1"/>
  <c r="N76" i="23"/>
  <c r="O76" i="23" s="1"/>
  <c r="P76" i="23" s="1"/>
  <c r="N55" i="23"/>
  <c r="O55" i="23" s="1"/>
  <c r="P55" i="23" s="1"/>
  <c r="N24" i="23"/>
  <c r="O24" i="23" s="1"/>
  <c r="P24" i="23" s="1"/>
  <c r="N98" i="23"/>
  <c r="O98" i="23" s="1"/>
  <c r="P98" i="23" s="1"/>
  <c r="N82" i="23"/>
  <c r="O82" i="23" s="1"/>
  <c r="P82" i="23" s="1"/>
  <c r="N66" i="23"/>
  <c r="O66" i="23" s="1"/>
  <c r="P66" i="23" s="1"/>
  <c r="N50" i="23"/>
  <c r="O50" i="23" s="1"/>
  <c r="P50" i="23" s="1"/>
  <c r="N34" i="23"/>
  <c r="O34" i="23" s="1"/>
  <c r="P34" i="23" s="1"/>
  <c r="N18" i="23"/>
  <c r="O18" i="23" s="1"/>
  <c r="P18" i="23" s="1"/>
  <c r="N45" i="23"/>
  <c r="O45" i="23" s="1"/>
  <c r="P45" i="23" s="1"/>
  <c r="N29" i="23"/>
  <c r="O29" i="23" s="1"/>
  <c r="P29" i="23" s="1"/>
  <c r="N13" i="23"/>
  <c r="O13" i="23" s="1"/>
  <c r="P13" i="23" s="1"/>
  <c r="I51" i="23"/>
  <c r="I83" i="23"/>
  <c r="I91" i="23"/>
  <c r="I44" i="23"/>
  <c r="F90" i="23"/>
  <c r="J90" i="23" s="1"/>
  <c r="F83" i="23"/>
  <c r="G83" i="23" s="1"/>
  <c r="H83" i="23" s="1"/>
  <c r="F42" i="23"/>
  <c r="G42" i="23" s="1"/>
  <c r="H42" i="23" s="1"/>
  <c r="F35" i="23"/>
  <c r="J35" i="23" s="1"/>
  <c r="I69" i="23"/>
  <c r="F50" i="23"/>
  <c r="J50" i="23" s="1"/>
  <c r="I72" i="23"/>
  <c r="I45" i="23"/>
  <c r="F65" i="23"/>
  <c r="G65" i="23" s="1"/>
  <c r="H65" i="23" s="1"/>
  <c r="F82" i="23"/>
  <c r="J82" i="23" s="1"/>
  <c r="N101" i="23"/>
  <c r="O101" i="23" s="1"/>
  <c r="P101" i="23" s="1"/>
  <c r="N59" i="23"/>
  <c r="O59" i="23" s="1"/>
  <c r="P59" i="23" s="1"/>
  <c r="N105" i="23"/>
  <c r="O105" i="23" s="1"/>
  <c r="P105" i="23" s="1"/>
  <c r="N84" i="23"/>
  <c r="O84" i="23" s="1"/>
  <c r="P84" i="23" s="1"/>
  <c r="N63" i="23"/>
  <c r="O63" i="23" s="1"/>
  <c r="P63" i="23" s="1"/>
  <c r="N36" i="23"/>
  <c r="O36" i="23" s="1"/>
  <c r="P36" i="23" s="1"/>
  <c r="N6" i="23"/>
  <c r="O6" i="23" s="1"/>
  <c r="P6" i="23" s="1"/>
  <c r="N88" i="23"/>
  <c r="O88" i="23" s="1"/>
  <c r="P88" i="23" s="1"/>
  <c r="N67" i="23"/>
  <c r="O67" i="23" s="1"/>
  <c r="P67" i="23" s="1"/>
  <c r="N43" i="23"/>
  <c r="O43" i="23" s="1"/>
  <c r="P43" i="23" s="1"/>
  <c r="N11" i="23"/>
  <c r="O11" i="23" s="1"/>
  <c r="P11" i="23" s="1"/>
  <c r="N75" i="23"/>
  <c r="O75" i="23" s="1"/>
  <c r="P75" i="23" s="1"/>
  <c r="N23" i="23"/>
  <c r="O23" i="23" s="1"/>
  <c r="P23" i="23" s="1"/>
  <c r="N92" i="23"/>
  <c r="O92" i="23" s="1"/>
  <c r="P92" i="23" s="1"/>
  <c r="N71" i="23"/>
  <c r="O71" i="23" s="1"/>
  <c r="P71" i="23" s="1"/>
  <c r="N48" i="23"/>
  <c r="O48" i="23" s="1"/>
  <c r="P48" i="23" s="1"/>
  <c r="N16" i="23"/>
  <c r="O16" i="23" s="1"/>
  <c r="P16" i="23" s="1"/>
  <c r="N94" i="23"/>
  <c r="O94" i="23" s="1"/>
  <c r="P94" i="23" s="1"/>
  <c r="N78" i="23"/>
  <c r="O78" i="23" s="1"/>
  <c r="P78" i="23" s="1"/>
  <c r="N62" i="23"/>
  <c r="O62" i="23" s="1"/>
  <c r="P62" i="23" s="1"/>
  <c r="N46" i="23"/>
  <c r="O46" i="23" s="1"/>
  <c r="P46" i="23" s="1"/>
  <c r="N30" i="23"/>
  <c r="O30" i="23" s="1"/>
  <c r="P30" i="23" s="1"/>
  <c r="N14" i="23"/>
  <c r="O14" i="23" s="1"/>
  <c r="P14" i="23" s="1"/>
  <c r="N41" i="23"/>
  <c r="O41" i="23" s="1"/>
  <c r="P41" i="23" s="1"/>
  <c r="N25" i="23"/>
  <c r="O25" i="23" s="1"/>
  <c r="P25" i="23" s="1"/>
  <c r="N9" i="23"/>
  <c r="O9" i="23" s="1"/>
  <c r="P9" i="23" s="1"/>
  <c r="I19" i="23"/>
  <c r="I28" i="23"/>
  <c r="I89" i="23"/>
  <c r="F64" i="23"/>
  <c r="J64" i="23" s="1"/>
  <c r="F37" i="23"/>
  <c r="J37" i="23" s="1"/>
  <c r="F74" i="23"/>
  <c r="G74" i="23" s="1"/>
  <c r="H74" i="23" s="1"/>
  <c r="F15" i="23"/>
  <c r="J15" i="23" s="1"/>
  <c r="I47" i="23"/>
  <c r="I97" i="23"/>
  <c r="F68" i="23"/>
  <c r="J68" i="23" s="1"/>
  <c r="F45" i="23"/>
  <c r="J45" i="23" s="1"/>
  <c r="F19" i="23"/>
  <c r="J19" i="23" s="1"/>
  <c r="F47" i="23"/>
  <c r="J47" i="23" s="1"/>
  <c r="I68" i="23"/>
  <c r="F40" i="23"/>
  <c r="J40" i="23" s="1"/>
  <c r="F104" i="23"/>
  <c r="J104" i="23" s="1"/>
  <c r="F18" i="23"/>
  <c r="J18" i="23" s="1"/>
  <c r="F57" i="23"/>
  <c r="G57" i="23" s="1"/>
  <c r="H57" i="23" s="1"/>
  <c r="I7" i="23"/>
  <c r="F28" i="23"/>
  <c r="J28" i="23" s="1"/>
  <c r="F97" i="23"/>
  <c r="G97" i="23" s="1"/>
  <c r="H97" i="23" s="1"/>
  <c r="F8" i="23"/>
  <c r="J8" i="23" s="1"/>
  <c r="I58" i="23"/>
  <c r="I82" i="23"/>
  <c r="I74" i="23"/>
  <c r="I37" i="23"/>
  <c r="I35" i="23"/>
  <c r="I85" i="23"/>
  <c r="I29" i="23"/>
  <c r="F58" i="23"/>
  <c r="G58" i="23" s="1"/>
  <c r="H58" i="23" s="1"/>
  <c r="F51" i="23"/>
  <c r="J51" i="23" s="1"/>
  <c r="I15" i="23"/>
  <c r="I79" i="23"/>
  <c r="I93" i="23"/>
  <c r="I64" i="23"/>
  <c r="F100" i="23"/>
  <c r="G100" i="23" s="1"/>
  <c r="H100" i="23" s="1"/>
  <c r="F10" i="23"/>
  <c r="J10" i="23" s="1"/>
  <c r="F66" i="23"/>
  <c r="G66" i="23" s="1"/>
  <c r="H66" i="23" s="1"/>
  <c r="F55" i="23"/>
  <c r="J55" i="23" s="1"/>
  <c r="I100" i="23"/>
  <c r="F72" i="23"/>
  <c r="G72" i="23" s="1"/>
  <c r="H72" i="23" s="1"/>
  <c r="I39" i="23"/>
  <c r="I24" i="23"/>
  <c r="F29" i="23"/>
  <c r="J29" i="23" s="1"/>
  <c r="F93" i="23"/>
  <c r="G93" i="23" s="1"/>
  <c r="H93" i="23" s="1"/>
  <c r="F95" i="23"/>
  <c r="G95" i="23" s="1"/>
  <c r="H95" i="23" s="1"/>
  <c r="I26" i="23"/>
  <c r="I66" i="23"/>
  <c r="I18" i="23"/>
  <c r="I34" i="23"/>
  <c r="G96" i="23"/>
  <c r="H96" i="23" s="1"/>
  <c r="G41" i="23"/>
  <c r="H41" i="23" s="1"/>
  <c r="G36" i="23"/>
  <c r="H36" i="23" s="1"/>
  <c r="G86" i="23"/>
  <c r="H86" i="23" s="1"/>
  <c r="G23" i="23"/>
  <c r="H23" i="23" s="1"/>
  <c r="G62" i="23"/>
  <c r="H62" i="23" s="1"/>
  <c r="G11" i="23"/>
  <c r="H11" i="23" s="1"/>
  <c r="G48" i="23"/>
  <c r="H48" i="23" s="1"/>
  <c r="G9" i="23"/>
  <c r="H9" i="23" s="1"/>
  <c r="G69" i="23"/>
  <c r="H69" i="23" s="1"/>
  <c r="G75" i="23"/>
  <c r="H75" i="23" s="1"/>
  <c r="G89" i="23"/>
  <c r="H89" i="23" s="1"/>
  <c r="G39" i="23"/>
  <c r="H39" i="23" s="1"/>
  <c r="G99" i="23"/>
  <c r="H99" i="23" s="1"/>
  <c r="G76" i="23"/>
  <c r="H76" i="23" s="1"/>
  <c r="G98" i="23"/>
  <c r="H98" i="23" s="1"/>
  <c r="G27" i="23"/>
  <c r="H27" i="23" s="1"/>
  <c r="G79" i="23"/>
  <c r="H79" i="23" s="1"/>
  <c r="G78" i="23"/>
  <c r="H78" i="23" s="1"/>
  <c r="G70" i="23"/>
  <c r="H70" i="23" s="1"/>
  <c r="G59" i="23"/>
  <c r="H59" i="23" s="1"/>
  <c r="G33" i="23"/>
  <c r="H33" i="23" s="1"/>
  <c r="G43" i="23"/>
  <c r="H43" i="23" s="1"/>
  <c r="G16" i="23"/>
  <c r="H16" i="23" s="1"/>
  <c r="G106" i="23"/>
  <c r="H106" i="23" s="1"/>
  <c r="G31" i="23"/>
  <c r="H31" i="23" s="1"/>
  <c r="G38" i="23"/>
  <c r="H38" i="23" s="1"/>
  <c r="G56" i="23"/>
  <c r="H56" i="23" s="1"/>
  <c r="G44" i="23"/>
  <c r="H44" i="23" s="1"/>
  <c r="G7" i="23"/>
  <c r="H7" i="23" s="1"/>
  <c r="B19" i="19"/>
  <c r="D19" i="19" s="1"/>
  <c r="I17" i="8"/>
  <c r="J17" i="8" s="1"/>
  <c r="D143" i="2" s="1"/>
  <c r="F231" i="2" s="1"/>
  <c r="G142" i="2"/>
  <c r="F142" i="2"/>
  <c r="E37" i="1" s="1"/>
  <c r="H230" i="2" s="1"/>
  <c r="C43" i="16" s="1"/>
  <c r="I18" i="8"/>
  <c r="J18" i="8" s="1"/>
  <c r="G234" i="2" s="1"/>
  <c r="A237" i="2"/>
  <c r="B237" i="2"/>
  <c r="B218" i="2"/>
  <c r="D32" i="16"/>
  <c r="R53" i="2"/>
  <c r="C34" i="16"/>
  <c r="B128" i="2"/>
  <c r="E30" i="1" s="1"/>
  <c r="K49" i="2"/>
  <c r="K50" i="2"/>
  <c r="D218" i="2"/>
  <c r="C157" i="8"/>
  <c r="C156" i="8" s="1"/>
  <c r="C155" i="8" s="1"/>
  <c r="C154" i="8" s="1"/>
  <c r="C153" i="8" s="1"/>
  <c r="C152" i="8" s="1"/>
  <c r="C151" i="8" s="1"/>
  <c r="C150" i="8" s="1"/>
  <c r="C149" i="8" s="1"/>
  <c r="C148" i="8" s="1"/>
  <c r="C147" i="8" s="1"/>
  <c r="C146" i="8" s="1"/>
  <c r="C145" i="8" s="1"/>
  <c r="C144" i="8" s="1"/>
  <c r="C143" i="8" s="1"/>
  <c r="C142" i="8" s="1"/>
  <c r="C141" i="8" s="1"/>
  <c r="C140" i="8" s="1"/>
  <c r="C139" i="8" s="1"/>
  <c r="C138" i="8" s="1"/>
  <c r="C137" i="8" s="1"/>
  <c r="C136" i="8" s="1"/>
  <c r="C135" i="8" s="1"/>
  <c r="C134" i="8" s="1"/>
  <c r="C133" i="8" s="1"/>
  <c r="C132" i="8" s="1"/>
  <c r="C131" i="8" s="1"/>
  <c r="C130" i="8" s="1"/>
  <c r="C129" i="8" s="1"/>
  <c r="C128" i="8" s="1"/>
  <c r="C127" i="8" s="1"/>
  <c r="C126" i="8" s="1"/>
  <c r="C125" i="8" s="1"/>
  <c r="C124" i="8" s="1"/>
  <c r="C123" i="8" s="1"/>
  <c r="C122" i="8" s="1"/>
  <c r="C121" i="8" s="1"/>
  <c r="C120" i="8" s="1"/>
  <c r="C119" i="8" s="1"/>
  <c r="C118" i="8" s="1"/>
  <c r="C117" i="8" s="1"/>
  <c r="C116" i="8" s="1"/>
  <c r="C115" i="8" s="1"/>
  <c r="C114" i="8" s="1"/>
  <c r="C113" i="8" s="1"/>
  <c r="C112" i="8" s="1"/>
  <c r="C111" i="8" s="1"/>
  <c r="C110" i="8" s="1"/>
  <c r="C109" i="8" s="1"/>
  <c r="C108" i="8" s="1"/>
  <c r="C107" i="8" s="1"/>
  <c r="C106" i="8" s="1"/>
  <c r="C105" i="8" s="1"/>
  <c r="C104" i="8" s="1"/>
  <c r="C103" i="8" s="1"/>
  <c r="C102" i="8" s="1"/>
  <c r="C101" i="8" s="1"/>
  <c r="C100" i="8" s="1"/>
  <c r="C99" i="8" s="1"/>
  <c r="C98" i="8" s="1"/>
  <c r="C97" i="8" s="1"/>
  <c r="C96" i="8" s="1"/>
  <c r="C95" i="8" s="1"/>
  <c r="C94" i="8" s="1"/>
  <c r="C93" i="8" s="1"/>
  <c r="C92" i="8" s="1"/>
  <c r="C91" i="8" s="1"/>
  <c r="C90" i="8" s="1"/>
  <c r="C89" i="8" s="1"/>
  <c r="C88" i="8" s="1"/>
  <c r="C87" i="8" s="1"/>
  <c r="C86" i="8" s="1"/>
  <c r="C85" i="8" s="1"/>
  <c r="C84" i="8" s="1"/>
  <c r="C83" i="8" s="1"/>
  <c r="C82" i="8" s="1"/>
  <c r="C81" i="8" s="1"/>
  <c r="C80" i="8" s="1"/>
  <c r="C79" i="8" s="1"/>
  <c r="C78" i="8" s="1"/>
  <c r="C77" i="8" s="1"/>
  <c r="C76" i="8" s="1"/>
  <c r="C75" i="8" s="1"/>
  <c r="C74" i="8" s="1"/>
  <c r="C73" i="8" s="1"/>
  <c r="C72" i="8" s="1"/>
  <c r="C71" i="8" s="1"/>
  <c r="C70" i="8" s="1"/>
  <c r="C69" i="8" s="1"/>
  <c r="C68" i="8" s="1"/>
  <c r="C67" i="8" s="1"/>
  <c r="C66" i="8" s="1"/>
  <c r="C65" i="8" s="1"/>
  <c r="C64" i="8" s="1"/>
  <c r="C63" i="8" s="1"/>
  <c r="C62" i="8" s="1"/>
  <c r="C61" i="8" s="1"/>
  <c r="C60" i="8" s="1"/>
  <c r="C59" i="8" s="1"/>
  <c r="C58" i="8" s="1"/>
  <c r="C57" i="8" s="1"/>
  <c r="C56" i="8" s="1"/>
  <c r="C55" i="8" s="1"/>
  <c r="C54" i="8" s="1"/>
  <c r="C53" i="8" s="1"/>
  <c r="C52" i="8" s="1"/>
  <c r="C51" i="8" s="1"/>
  <c r="C50" i="8" s="1"/>
  <c r="C49" i="8" s="1"/>
  <c r="C48" i="8" s="1"/>
  <c r="C47" i="8" s="1"/>
  <c r="C46" i="8" s="1"/>
  <c r="C45" i="8" s="1"/>
  <c r="C44" i="8" s="1"/>
  <c r="C43" i="8" s="1"/>
  <c r="C42" i="8" s="1"/>
  <c r="C41" i="8" s="1"/>
  <c r="C40" i="8" s="1"/>
  <c r="C39" i="8" s="1"/>
  <c r="C38" i="8" s="1"/>
  <c r="C37" i="8" s="1"/>
  <c r="C36" i="8" s="1"/>
  <c r="C35" i="8" s="1"/>
  <c r="C34" i="8" s="1"/>
  <c r="C33" i="8" s="1"/>
  <c r="C32" i="8" s="1"/>
  <c r="C31" i="8" s="1"/>
  <c r="C30" i="8" s="1"/>
  <c r="C29" i="8" s="1"/>
  <c r="C28" i="8" s="1"/>
  <c r="C27" i="8" s="1"/>
  <c r="C26" i="8" s="1"/>
  <c r="C25" i="8" s="1"/>
  <c r="C24" i="8" s="1"/>
  <c r="C23" i="8" s="1"/>
  <c r="C22" i="8" s="1"/>
  <c r="C21" i="8" s="1"/>
  <c r="C20" i="8" s="1"/>
  <c r="C19" i="8" s="1"/>
  <c r="C18" i="8" s="1"/>
  <c r="C17" i="8" s="1"/>
  <c r="C16" i="8" s="1"/>
  <c r="C15" i="8" s="1"/>
  <c r="C14" i="8" s="1"/>
  <c r="C13" i="8" s="1"/>
  <c r="C12" i="8" s="1"/>
  <c r="C11" i="8" s="1"/>
  <c r="C10" i="8" s="1"/>
  <c r="C9" i="8" s="1"/>
  <c r="C8" i="8" s="1"/>
  <c r="C7" i="8" s="1"/>
  <c r="C6" i="8" s="1"/>
  <c r="C4" i="8" s="1"/>
  <c r="B217" i="2"/>
  <c r="C218" i="2"/>
  <c r="B219" i="2"/>
  <c r="A220" i="2"/>
  <c r="B223" i="2"/>
  <c r="I11" i="19"/>
  <c r="I15" i="19"/>
  <c r="I19" i="19"/>
  <c r="I23" i="19"/>
  <c r="I27" i="19"/>
  <c r="I31" i="19"/>
  <c r="I35" i="19"/>
  <c r="I39" i="19"/>
  <c r="I43" i="19"/>
  <c r="I47" i="19"/>
  <c r="I51" i="19"/>
  <c r="I55" i="19"/>
  <c r="I59" i="19"/>
  <c r="I63" i="19"/>
  <c r="I67" i="19"/>
  <c r="I71" i="19"/>
  <c r="I75" i="19"/>
  <c r="I79" i="19"/>
  <c r="I83" i="19"/>
  <c r="I87" i="19"/>
  <c r="I91" i="19"/>
  <c r="I95" i="19"/>
  <c r="I99" i="19"/>
  <c r="I103" i="19"/>
  <c r="I13" i="19"/>
  <c r="I17" i="19"/>
  <c r="I21" i="19"/>
  <c r="I25" i="19"/>
  <c r="I29" i="19"/>
  <c r="I33" i="19"/>
  <c r="I37" i="19"/>
  <c r="I41" i="19"/>
  <c r="I45" i="19"/>
  <c r="I49" i="19"/>
  <c r="I53" i="19"/>
  <c r="I57" i="19"/>
  <c r="I61" i="19"/>
  <c r="I65" i="19"/>
  <c r="I69" i="19"/>
  <c r="I73" i="19"/>
  <c r="I77" i="19"/>
  <c r="I81" i="19"/>
  <c r="I85" i="19"/>
  <c r="I89" i="19"/>
  <c r="I93" i="19"/>
  <c r="I97" i="19"/>
  <c r="I101" i="19"/>
  <c r="I105" i="19"/>
  <c r="I10" i="19"/>
  <c r="I18" i="19"/>
  <c r="I26" i="19"/>
  <c r="I34" i="19"/>
  <c r="I42" i="19"/>
  <c r="I50" i="19"/>
  <c r="I58" i="19"/>
  <c r="I66" i="19"/>
  <c r="I74" i="19"/>
  <c r="I82" i="19"/>
  <c r="I90" i="19"/>
  <c r="I98" i="19"/>
  <c r="I106" i="19"/>
  <c r="I14" i="19"/>
  <c r="I22" i="19"/>
  <c r="I30" i="19"/>
  <c r="I38" i="19"/>
  <c r="I46" i="19"/>
  <c r="I54" i="19"/>
  <c r="I62" i="19"/>
  <c r="I70" i="19"/>
  <c r="I78" i="19"/>
  <c r="I86" i="19"/>
  <c r="I94" i="19"/>
  <c r="I102" i="19"/>
  <c r="I20" i="19"/>
  <c r="I36" i="19"/>
  <c r="I52" i="19"/>
  <c r="I68" i="19"/>
  <c r="I84" i="19"/>
  <c r="I100" i="19"/>
  <c r="I24" i="19"/>
  <c r="I40" i="19"/>
  <c r="I56" i="19"/>
  <c r="I72" i="19"/>
  <c r="I88" i="19"/>
  <c r="I104" i="19"/>
  <c r="I12" i="19"/>
  <c r="I28" i="19"/>
  <c r="I44" i="19"/>
  <c r="I60" i="19"/>
  <c r="I76" i="19"/>
  <c r="I92" i="19"/>
  <c r="I16" i="19"/>
  <c r="I32" i="19"/>
  <c r="I48" i="19"/>
  <c r="I64" i="19"/>
  <c r="I80" i="19"/>
  <c r="I96" i="19"/>
  <c r="D18" i="19"/>
  <c r="BB163" i="24" l="1"/>
  <c r="AX150" i="25"/>
  <c r="AX131" i="25"/>
  <c r="AX163" i="25"/>
  <c r="AX195" i="25"/>
  <c r="BB210" i="24"/>
  <c r="AX165" i="25"/>
  <c r="AX190" i="25"/>
  <c r="AX114" i="25"/>
  <c r="AX184" i="25"/>
  <c r="AX162" i="25"/>
  <c r="BB186" i="24"/>
  <c r="AX113" i="25"/>
  <c r="AX172" i="25"/>
  <c r="BB182" i="24"/>
  <c r="BB150" i="24"/>
  <c r="BB177" i="24"/>
  <c r="AX126" i="25"/>
  <c r="AX141" i="25"/>
  <c r="AX189" i="25"/>
  <c r="BB142" i="24"/>
  <c r="BB161" i="24"/>
  <c r="BB159" i="24"/>
  <c r="BB157" i="24"/>
  <c r="AX112" i="25"/>
  <c r="BB149" i="24"/>
  <c r="BB123" i="24"/>
  <c r="BB145" i="24"/>
  <c r="BB201" i="24"/>
  <c r="BB196" i="24"/>
  <c r="AX181" i="25"/>
  <c r="AX136" i="25"/>
  <c r="AX202" i="25"/>
  <c r="BB183" i="24"/>
  <c r="BB137" i="24"/>
  <c r="BB122" i="24"/>
  <c r="BB188" i="24"/>
  <c r="AX124" i="25"/>
  <c r="AX200" i="25"/>
  <c r="BB167" i="24"/>
  <c r="AX122" i="25"/>
  <c r="AX188" i="25"/>
  <c r="AX138" i="25"/>
  <c r="BB155" i="24"/>
  <c r="AX117" i="25"/>
  <c r="AX127" i="25"/>
  <c r="AX173" i="25"/>
  <c r="AX142" i="25"/>
  <c r="AX203" i="25"/>
  <c r="AX164" i="25"/>
  <c r="AX201" i="25"/>
  <c r="BB144" i="24"/>
  <c r="AX159" i="25"/>
  <c r="AW10" i="25"/>
  <c r="AW51" i="25"/>
  <c r="AW8" i="25"/>
  <c r="AW100" i="25"/>
  <c r="AW66" i="25"/>
  <c r="AW24" i="25"/>
  <c r="AW103" i="25"/>
  <c r="AW35" i="25"/>
  <c r="AW88" i="25"/>
  <c r="BB195" i="24"/>
  <c r="AW89" i="25"/>
  <c r="AW104" i="25"/>
  <c r="AW64" i="25"/>
  <c r="AW37" i="25"/>
  <c r="AW43" i="25"/>
  <c r="AW105" i="25"/>
  <c r="AW77" i="25"/>
  <c r="AW99" i="25"/>
  <c r="AW23" i="25"/>
  <c r="AW6" i="25"/>
  <c r="AW95" i="25"/>
  <c r="BB209" i="24"/>
  <c r="BB187" i="24"/>
  <c r="BB125" i="24"/>
  <c r="AX119" i="25"/>
  <c r="AX137" i="25"/>
  <c r="AX134" i="25"/>
  <c r="AX179" i="25"/>
  <c r="AX300" i="25"/>
  <c r="AX252" i="25"/>
  <c r="AX291" i="25"/>
  <c r="AW72" i="25"/>
  <c r="AW86" i="25"/>
  <c r="AW28" i="25"/>
  <c r="AW102" i="25"/>
  <c r="AW50" i="25"/>
  <c r="AW33" i="25"/>
  <c r="AW38" i="25"/>
  <c r="AW65" i="25"/>
  <c r="AW80" i="25"/>
  <c r="AW93" i="25"/>
  <c r="AW60" i="25"/>
  <c r="AW56" i="25"/>
  <c r="BB207" i="24"/>
  <c r="BB185" i="24"/>
  <c r="BB133" i="24"/>
  <c r="BB289" i="24"/>
  <c r="BB218" i="24"/>
  <c r="BB112" i="24"/>
  <c r="BB276" i="24"/>
  <c r="AX156" i="25"/>
  <c r="AX170" i="25"/>
  <c r="AX242" i="25"/>
  <c r="AX276" i="25"/>
  <c r="AX151" i="25"/>
  <c r="AX183" i="25"/>
  <c r="AX259" i="25"/>
  <c r="AX302" i="25"/>
  <c r="AW67" i="25"/>
  <c r="AW16" i="25"/>
  <c r="AW74" i="25"/>
  <c r="AW29" i="25"/>
  <c r="AW101" i="25"/>
  <c r="AW69" i="25"/>
  <c r="AW82" i="25"/>
  <c r="AW81" i="25"/>
  <c r="AW62" i="25"/>
  <c r="AW46" i="25"/>
  <c r="AW31" i="25"/>
  <c r="AW36" i="25"/>
  <c r="AW22" i="25"/>
  <c r="BB160" i="24"/>
  <c r="AX301" i="25"/>
  <c r="BB199" i="24"/>
  <c r="AX157" i="25"/>
  <c r="AX280" i="25"/>
  <c r="AX318" i="25"/>
  <c r="AW110" i="25"/>
  <c r="AW78" i="25"/>
  <c r="AW19" i="25"/>
  <c r="AW84" i="25"/>
  <c r="AW25" i="25"/>
  <c r="AW44" i="25"/>
  <c r="AW71" i="25"/>
  <c r="AW90" i="25"/>
  <c r="AW39" i="25"/>
  <c r="AW96" i="25"/>
  <c r="AW58" i="25"/>
  <c r="AW18" i="25"/>
  <c r="AW92" i="25"/>
  <c r="AW75" i="25"/>
  <c r="BB219" i="24"/>
  <c r="BB271" i="24"/>
  <c r="AX254" i="25"/>
  <c r="BB203" i="24"/>
  <c r="BB146" i="24"/>
  <c r="BB165" i="24"/>
  <c r="BB175" i="24"/>
  <c r="BB169" i="24"/>
  <c r="BB268" i="24"/>
  <c r="AX125" i="25"/>
  <c r="AX144" i="25"/>
  <c r="AX146" i="25"/>
  <c r="AX227" i="25"/>
  <c r="AX262" i="25"/>
  <c r="AX207" i="25"/>
  <c r="AX273" i="25"/>
  <c r="AX312" i="25"/>
  <c r="AW40" i="25"/>
  <c r="AW9" i="25"/>
  <c r="AW59" i="25"/>
  <c r="AW85" i="25"/>
  <c r="AW79" i="25"/>
  <c r="AW26" i="25"/>
  <c r="AW55" i="25"/>
  <c r="AW12" i="25"/>
  <c r="AW34" i="25"/>
  <c r="AW11" i="25"/>
  <c r="AW45" i="25"/>
  <c r="AW42" i="25"/>
  <c r="AW48" i="25"/>
  <c r="AX278" i="25"/>
  <c r="BB128" i="24"/>
  <c r="BB115" i="24"/>
  <c r="BB140" i="24"/>
  <c r="AX177" i="25"/>
  <c r="AX193" i="25"/>
  <c r="AX288" i="25"/>
  <c r="AX313" i="25"/>
  <c r="AW49" i="25"/>
  <c r="AW54" i="25"/>
  <c r="AW70" i="25"/>
  <c r="AW73" i="25"/>
  <c r="AW94" i="25"/>
  <c r="AW20" i="25"/>
  <c r="AW63" i="25"/>
  <c r="AW14" i="25"/>
  <c r="AW41" i="25"/>
  <c r="AW30" i="25"/>
  <c r="AW98" i="25"/>
  <c r="AW32" i="25"/>
  <c r="AW7" i="25"/>
  <c r="BB143" i="24"/>
  <c r="AX175" i="25"/>
  <c r="AX251" i="25"/>
  <c r="BB138" i="24"/>
  <c r="AX180" i="25"/>
  <c r="AX266" i="25"/>
  <c r="AX226" i="25"/>
  <c r="AX240" i="25"/>
  <c r="AW61" i="25"/>
  <c r="AW21" i="25"/>
  <c r="AW91" i="25"/>
  <c r="AW68" i="25"/>
  <c r="AW27" i="25"/>
  <c r="AW17" i="25"/>
  <c r="AW52" i="25"/>
  <c r="AW87" i="25"/>
  <c r="AW97" i="25"/>
  <c r="AW15" i="25"/>
  <c r="AW13" i="25"/>
  <c r="AW83" i="25"/>
  <c r="BB225" i="24"/>
  <c r="BB247" i="24"/>
  <c r="BB244" i="24"/>
  <c r="AX306" i="25"/>
  <c r="BB302" i="24"/>
  <c r="BB238" i="24"/>
  <c r="AX225" i="25"/>
  <c r="AX155" i="25"/>
  <c r="AX208" i="25"/>
  <c r="AX210" i="25"/>
  <c r="AX171" i="25"/>
  <c r="BB306" i="24"/>
  <c r="BB274" i="24"/>
  <c r="BB242" i="24"/>
  <c r="BB231" i="24"/>
  <c r="BB317" i="24"/>
  <c r="BB285" i="24"/>
  <c r="BB253" i="24"/>
  <c r="BB221" i="24"/>
  <c r="BB235" i="24"/>
  <c r="BB304" i="24"/>
  <c r="BB272" i="24"/>
  <c r="BB240" i="24"/>
  <c r="AX245" i="25"/>
  <c r="AX263" i="25"/>
  <c r="AX299" i="25"/>
  <c r="BB113" i="24"/>
  <c r="BB234" i="24"/>
  <c r="BB230" i="24"/>
  <c r="AX274" i="25"/>
  <c r="BB129" i="24"/>
  <c r="BB286" i="24"/>
  <c r="BB222" i="24"/>
  <c r="BB141" i="24"/>
  <c r="AX294" i="25"/>
  <c r="O220" i="25"/>
  <c r="AW220" i="25"/>
  <c r="O283" i="25"/>
  <c r="S283" i="25" s="1"/>
  <c r="K283" i="25" s="1"/>
  <c r="AW283" i="25"/>
  <c r="O247" i="25"/>
  <c r="Q247" i="25" s="1"/>
  <c r="AW247" i="25"/>
  <c r="BB251" i="24"/>
  <c r="BB270" i="24"/>
  <c r="BB313" i="24"/>
  <c r="BB281" i="24"/>
  <c r="BB249" i="24"/>
  <c r="BB303" i="24"/>
  <c r="BB223" i="24"/>
  <c r="BB236" i="24"/>
  <c r="AX220" i="25"/>
  <c r="AX271" i="25"/>
  <c r="AX246" i="25"/>
  <c r="O306" i="25"/>
  <c r="R306" i="25" s="1"/>
  <c r="AW306" i="25"/>
  <c r="O242" i="25"/>
  <c r="R242" i="25" s="1"/>
  <c r="AW242" i="25"/>
  <c r="O232" i="25"/>
  <c r="R232" i="25" s="1"/>
  <c r="AW232" i="25"/>
  <c r="O305" i="25"/>
  <c r="S305" i="25" s="1"/>
  <c r="K305" i="25" s="1"/>
  <c r="AW305" i="25"/>
  <c r="O241" i="25"/>
  <c r="S241" i="25" s="1"/>
  <c r="K241" i="25" s="1"/>
  <c r="AW241" i="25"/>
  <c r="O307" i="25"/>
  <c r="S307" i="25" s="1"/>
  <c r="K307" i="25" s="1"/>
  <c r="AW307" i="25"/>
  <c r="O253" i="25"/>
  <c r="Q253" i="25" s="1"/>
  <c r="AW253" i="25"/>
  <c r="O255" i="25"/>
  <c r="R255" i="25" s="1"/>
  <c r="AW255" i="25"/>
  <c r="O294" i="25"/>
  <c r="S294" i="25" s="1"/>
  <c r="K294" i="25" s="1"/>
  <c r="AW294" i="25"/>
  <c r="O230" i="25"/>
  <c r="R230" i="25" s="1"/>
  <c r="AW230" i="25"/>
  <c r="O265" i="25"/>
  <c r="R265" i="25" s="1"/>
  <c r="AW265" i="25"/>
  <c r="O269" i="25"/>
  <c r="S269" i="25" s="1"/>
  <c r="K269" i="25" s="1"/>
  <c r="AW269" i="25"/>
  <c r="O286" i="25"/>
  <c r="R286" i="25" s="1"/>
  <c r="AW286" i="25"/>
  <c r="O310" i="25"/>
  <c r="S310" i="25" s="1"/>
  <c r="K310" i="25" s="1"/>
  <c r="AW310" i="25"/>
  <c r="BB243" i="24"/>
  <c r="BB298" i="24"/>
  <c r="BB266" i="24"/>
  <c r="BB307" i="24"/>
  <c r="BB309" i="24"/>
  <c r="BB277" i="24"/>
  <c r="BB245" i="24"/>
  <c r="BB299" i="24"/>
  <c r="BB296" i="24"/>
  <c r="BB264" i="24"/>
  <c r="BB232" i="24"/>
  <c r="AX221" i="25"/>
  <c r="AX265" i="25"/>
  <c r="AX222" i="25"/>
  <c r="O267" i="25"/>
  <c r="R267" i="25" s="1"/>
  <c r="AW267" i="25"/>
  <c r="O277" i="25"/>
  <c r="S277" i="25" s="1"/>
  <c r="K277" i="25" s="1"/>
  <c r="AW277" i="25"/>
  <c r="O316" i="25"/>
  <c r="R316" i="25" s="1"/>
  <c r="AW316" i="25"/>
  <c r="O295" i="25"/>
  <c r="S295" i="25" s="1"/>
  <c r="K295" i="25" s="1"/>
  <c r="AW295" i="25"/>
  <c r="O231" i="25"/>
  <c r="S231" i="25" s="1"/>
  <c r="K231" i="25" s="1"/>
  <c r="AW231" i="25"/>
  <c r="O270" i="25"/>
  <c r="R270" i="25" s="1"/>
  <c r="AW270" i="25"/>
  <c r="O268" i="25"/>
  <c r="S268" i="25" s="1"/>
  <c r="K268" i="25" s="1"/>
  <c r="AW268" i="25"/>
  <c r="O243" i="25"/>
  <c r="R243" i="25" s="1"/>
  <c r="AW243" i="25"/>
  <c r="O282" i="25"/>
  <c r="R282" i="25" s="1"/>
  <c r="AW282" i="25"/>
  <c r="O317" i="25"/>
  <c r="R317" i="25" s="1"/>
  <c r="AW317" i="25"/>
  <c r="O292" i="25"/>
  <c r="R292" i="25" s="1"/>
  <c r="AW292" i="25"/>
  <c r="O256" i="25"/>
  <c r="R256" i="25" s="1"/>
  <c r="AW256" i="25"/>
  <c r="O304" i="25"/>
  <c r="R304" i="25" s="1"/>
  <c r="AW304" i="25"/>
  <c r="O244" i="25"/>
  <c r="Q244" i="25" s="1"/>
  <c r="AW244" i="25"/>
  <c r="BB257" i="24"/>
  <c r="O258" i="25"/>
  <c r="AW258" i="25"/>
  <c r="O257" i="25"/>
  <c r="R257" i="25" s="1"/>
  <c r="AW257" i="25"/>
  <c r="O246" i="25"/>
  <c r="S246" i="25" s="1"/>
  <c r="K246" i="25" s="1"/>
  <c r="AW246" i="25"/>
  <c r="BB315" i="24"/>
  <c r="O272" i="25"/>
  <c r="R272" i="25" s="1"/>
  <c r="AW272" i="25"/>
  <c r="O260" i="25"/>
  <c r="R260" i="25" s="1"/>
  <c r="AW260" i="25"/>
  <c r="AX218" i="25"/>
  <c r="AW218" i="25"/>
  <c r="BB227" i="24"/>
  <c r="BB294" i="24"/>
  <c r="BB262" i="24"/>
  <c r="BB291" i="24"/>
  <c r="BB305" i="24"/>
  <c r="BB273" i="24"/>
  <c r="BB241" i="24"/>
  <c r="BB287" i="24"/>
  <c r="BB292" i="24"/>
  <c r="BB260" i="24"/>
  <c r="BB228" i="24"/>
  <c r="AX224" i="25"/>
  <c r="AX196" i="25"/>
  <c r="AX186" i="25"/>
  <c r="AX234" i="25"/>
  <c r="AX296" i="25"/>
  <c r="AX281" i="25"/>
  <c r="AX286" i="25"/>
  <c r="O315" i="25"/>
  <c r="S315" i="25" s="1"/>
  <c r="K315" i="25" s="1"/>
  <c r="AW315" i="25"/>
  <c r="O261" i="25"/>
  <c r="Q261" i="25" s="1"/>
  <c r="AW261" i="25"/>
  <c r="O228" i="25"/>
  <c r="R228" i="25" s="1"/>
  <c r="AW228" i="25"/>
  <c r="O279" i="25"/>
  <c r="R279" i="25" s="1"/>
  <c r="AW279" i="25"/>
  <c r="O289" i="25"/>
  <c r="S289" i="25" s="1"/>
  <c r="K289" i="25" s="1"/>
  <c r="AW289" i="25"/>
  <c r="O225" i="25"/>
  <c r="S225" i="25" s="1"/>
  <c r="K225" i="25" s="1"/>
  <c r="AW225" i="25"/>
  <c r="O237" i="25"/>
  <c r="R237" i="25" s="1"/>
  <c r="AW237" i="25"/>
  <c r="O303" i="25"/>
  <c r="R303" i="25" s="1"/>
  <c r="AW303" i="25"/>
  <c r="O239" i="25"/>
  <c r="S239" i="25" s="1"/>
  <c r="K239" i="25" s="1"/>
  <c r="AW239" i="25"/>
  <c r="O249" i="25"/>
  <c r="Q249" i="25" s="1"/>
  <c r="AW249" i="25"/>
  <c r="BB310" i="24"/>
  <c r="O293" i="25"/>
  <c r="S293" i="25" s="1"/>
  <c r="K293" i="25" s="1"/>
  <c r="AW293" i="25"/>
  <c r="O271" i="25"/>
  <c r="R271" i="25" s="1"/>
  <c r="AW271" i="25"/>
  <c r="BB263" i="24"/>
  <c r="O229" i="25"/>
  <c r="R229" i="25" s="1"/>
  <c r="AW229" i="25"/>
  <c r="O296" i="25"/>
  <c r="R296" i="25" s="1"/>
  <c r="AW296" i="25"/>
  <c r="O234" i="25"/>
  <c r="Q234" i="25" s="1"/>
  <c r="AW234" i="25"/>
  <c r="O248" i="25"/>
  <c r="R248" i="25" s="1"/>
  <c r="AW248" i="25"/>
  <c r="BB166" i="24"/>
  <c r="BB290" i="24"/>
  <c r="BB258" i="24"/>
  <c r="BB226" i="24"/>
  <c r="BB279" i="24"/>
  <c r="BB301" i="24"/>
  <c r="BB269" i="24"/>
  <c r="BB237" i="24"/>
  <c r="BB275" i="24"/>
  <c r="BB288" i="24"/>
  <c r="BB256" i="24"/>
  <c r="BB224" i="24"/>
  <c r="AX297" i="25"/>
  <c r="AX253" i="25"/>
  <c r="AX230" i="25"/>
  <c r="AX247" i="25"/>
  <c r="O251" i="25"/>
  <c r="Q251" i="25" s="1"/>
  <c r="AW251" i="25"/>
  <c r="O290" i="25"/>
  <c r="R290" i="25" s="1"/>
  <c r="AW290" i="25"/>
  <c r="O226" i="25"/>
  <c r="S226" i="25" s="1"/>
  <c r="K226" i="25" s="1"/>
  <c r="AW226" i="25"/>
  <c r="O300" i="25"/>
  <c r="S300" i="25" s="1"/>
  <c r="K300" i="25" s="1"/>
  <c r="AW300" i="25"/>
  <c r="O318" i="25"/>
  <c r="S318" i="25" s="1"/>
  <c r="K318" i="25" s="1"/>
  <c r="AW318" i="25"/>
  <c r="O254" i="25"/>
  <c r="R254" i="25" s="1"/>
  <c r="AW254" i="25"/>
  <c r="O280" i="25"/>
  <c r="S280" i="25" s="1"/>
  <c r="K280" i="25" s="1"/>
  <c r="AW280" i="25"/>
  <c r="O291" i="25"/>
  <c r="S291" i="25" s="1"/>
  <c r="K291" i="25" s="1"/>
  <c r="AW291" i="25"/>
  <c r="O227" i="25"/>
  <c r="S227" i="25" s="1"/>
  <c r="K227" i="25" s="1"/>
  <c r="AW227" i="25"/>
  <c r="O266" i="25"/>
  <c r="R266" i="25" s="1"/>
  <c r="AW266" i="25"/>
  <c r="O301" i="25"/>
  <c r="Q301" i="25" s="1"/>
  <c r="AW301" i="25"/>
  <c r="O252" i="25"/>
  <c r="S252" i="25" s="1"/>
  <c r="K252" i="25" s="1"/>
  <c r="AW252" i="25"/>
  <c r="O278" i="25"/>
  <c r="R278" i="25" s="1"/>
  <c r="AW278" i="25"/>
  <c r="O313" i="25"/>
  <c r="R313" i="25" s="1"/>
  <c r="AW313" i="25"/>
  <c r="O288" i="25"/>
  <c r="S288" i="25" s="1"/>
  <c r="K288" i="25" s="1"/>
  <c r="AW288" i="25"/>
  <c r="O240" i="25"/>
  <c r="S240" i="25" s="1"/>
  <c r="K240" i="25" s="1"/>
  <c r="AW240" i="25"/>
  <c r="AZ9" i="25"/>
  <c r="AY9" i="25"/>
  <c r="AY73" i="25"/>
  <c r="AY34" i="25"/>
  <c r="AY98" i="25"/>
  <c r="AY40" i="25"/>
  <c r="AY43" i="25"/>
  <c r="AY21" i="25"/>
  <c r="AY62" i="25"/>
  <c r="AY48" i="25"/>
  <c r="AY52" i="25"/>
  <c r="AY29" i="25"/>
  <c r="AY38" i="25"/>
  <c r="AY95" i="25"/>
  <c r="AY17" i="25"/>
  <c r="AY81" i="25"/>
  <c r="AY42" i="25"/>
  <c r="AY5" i="25"/>
  <c r="AY64" i="25"/>
  <c r="AY51" i="25"/>
  <c r="AY78" i="25"/>
  <c r="AY80" i="25"/>
  <c r="AY54" i="25"/>
  <c r="AY37" i="25"/>
  <c r="AY86" i="25"/>
  <c r="AY25" i="25"/>
  <c r="AY89" i="25"/>
  <c r="AY50" i="25"/>
  <c r="AY102" i="25"/>
  <c r="AY72" i="25"/>
  <c r="AY59" i="25"/>
  <c r="AY61" i="25"/>
  <c r="AY94" i="25"/>
  <c r="AY104" i="25"/>
  <c r="AY68" i="25"/>
  <c r="AY53" i="25"/>
  <c r="AY70" i="25"/>
  <c r="AY32" i="25"/>
  <c r="AY33" i="25"/>
  <c r="AY97" i="25"/>
  <c r="AY58" i="25"/>
  <c r="AY23" i="25"/>
  <c r="AY96" i="25"/>
  <c r="AY67" i="25"/>
  <c r="AY15" i="25"/>
  <c r="AY12" i="25"/>
  <c r="AY76" i="25"/>
  <c r="AY77" i="25"/>
  <c r="AY69" i="25"/>
  <c r="AY41" i="25"/>
  <c r="AY105" i="25"/>
  <c r="AY66" i="25"/>
  <c r="AY39" i="25"/>
  <c r="AY11" i="25"/>
  <c r="AY75" i="25"/>
  <c r="AY93" i="25"/>
  <c r="AY47" i="25"/>
  <c r="AY20" i="25"/>
  <c r="AY84" i="25"/>
  <c r="AY85" i="25"/>
  <c r="AY7" i="25"/>
  <c r="AY88" i="25"/>
  <c r="AY60" i="25"/>
  <c r="AY49" i="25"/>
  <c r="AY10" i="25"/>
  <c r="AY74" i="25"/>
  <c r="AY63" i="25"/>
  <c r="AY19" i="25"/>
  <c r="AY83" i="25"/>
  <c r="AY14" i="25"/>
  <c r="AY71" i="25"/>
  <c r="AY28" i="25"/>
  <c r="AY92" i="25"/>
  <c r="AY101" i="25"/>
  <c r="AY31" i="25"/>
  <c r="AY90" i="25"/>
  <c r="AY35" i="25"/>
  <c r="AY46" i="25"/>
  <c r="AY44" i="25"/>
  <c r="AY79" i="25"/>
  <c r="AY16" i="25"/>
  <c r="AY57" i="25"/>
  <c r="AY18" i="25"/>
  <c r="AY82" i="25"/>
  <c r="AY87" i="25"/>
  <c r="AY27" i="25"/>
  <c r="AY91" i="25"/>
  <c r="AY22" i="25"/>
  <c r="AY103" i="25"/>
  <c r="AY36" i="25"/>
  <c r="AY100" i="25"/>
  <c r="AY6" i="25"/>
  <c r="AY55" i="25"/>
  <c r="AY65" i="25"/>
  <c r="AY26" i="25"/>
  <c r="AY8" i="25"/>
  <c r="AY99" i="25"/>
  <c r="AY24" i="25"/>
  <c r="AY13" i="25"/>
  <c r="AY30" i="25"/>
  <c r="AY45" i="25"/>
  <c r="AY56" i="25"/>
  <c r="O311" i="25"/>
  <c r="R311" i="25" s="1"/>
  <c r="AW311" i="25"/>
  <c r="O219" i="25"/>
  <c r="S219" i="25" s="1"/>
  <c r="K219" i="25" s="1"/>
  <c r="AW219" i="25"/>
  <c r="O222" i="25"/>
  <c r="S222" i="25" s="1"/>
  <c r="K222" i="25" s="1"/>
  <c r="AW222" i="25"/>
  <c r="BB233" i="24"/>
  <c r="BB316" i="24"/>
  <c r="BB284" i="24"/>
  <c r="BB220" i="24"/>
  <c r="AX248" i="25"/>
  <c r="O245" i="25"/>
  <c r="S245" i="25" s="1"/>
  <c r="K245" i="25" s="1"/>
  <c r="AW245" i="25"/>
  <c r="O224" i="25"/>
  <c r="R224" i="25" s="1"/>
  <c r="AW224" i="25"/>
  <c r="O302" i="25"/>
  <c r="S302" i="25" s="1"/>
  <c r="K302" i="25" s="1"/>
  <c r="AW302" i="25"/>
  <c r="O273" i="25"/>
  <c r="AW273" i="25"/>
  <c r="O312" i="25"/>
  <c r="Q312" i="25" s="1"/>
  <c r="AW312" i="25"/>
  <c r="O276" i="25"/>
  <c r="Q276" i="25" s="1"/>
  <c r="AW276" i="25"/>
  <c r="O221" i="25"/>
  <c r="R221" i="25" s="1"/>
  <c r="AW221" i="25"/>
  <c r="O262" i="25"/>
  <c r="AW262" i="25"/>
  <c r="O297" i="25"/>
  <c r="R297" i="25" s="1"/>
  <c r="AW297" i="25"/>
  <c r="O298" i="25"/>
  <c r="Q298" i="25" s="1"/>
  <c r="AW298" i="25"/>
  <c r="O281" i="25"/>
  <c r="R281" i="25" s="1"/>
  <c r="AW281" i="25"/>
  <c r="BB114" i="24"/>
  <c r="O259" i="25"/>
  <c r="R259" i="25" s="1"/>
  <c r="AW259" i="25"/>
  <c r="O308" i="25"/>
  <c r="Q308" i="25" s="1"/>
  <c r="AW308" i="25"/>
  <c r="BB311" i="24"/>
  <c r="BB252" i="24"/>
  <c r="BB295" i="24"/>
  <c r="BB202" i="24"/>
  <c r="BB314" i="24"/>
  <c r="BB282" i="24"/>
  <c r="BB250" i="24"/>
  <c r="BB255" i="24"/>
  <c r="BB197" i="24"/>
  <c r="BB293" i="24"/>
  <c r="BB261" i="24"/>
  <c r="BB229" i="24"/>
  <c r="BB135" i="24"/>
  <c r="BB259" i="24"/>
  <c r="BB312" i="24"/>
  <c r="BB280" i="24"/>
  <c r="BB248" i="24"/>
  <c r="AX229" i="25"/>
  <c r="AX272" i="25"/>
  <c r="O299" i="25"/>
  <c r="AW299" i="25"/>
  <c r="O235" i="25"/>
  <c r="R235" i="25" s="1"/>
  <c r="AW235" i="25"/>
  <c r="O274" i="25"/>
  <c r="R274" i="25" s="1"/>
  <c r="AW274" i="25"/>
  <c r="O309" i="25"/>
  <c r="S309" i="25" s="1"/>
  <c r="K309" i="25" s="1"/>
  <c r="AW309" i="25"/>
  <c r="O284" i="25"/>
  <c r="AW284" i="25"/>
  <c r="O263" i="25"/>
  <c r="R263" i="25" s="1"/>
  <c r="AW263" i="25"/>
  <c r="O238" i="25"/>
  <c r="Q238" i="25" s="1"/>
  <c r="AW238" i="25"/>
  <c r="O275" i="25"/>
  <c r="S275" i="25" s="1"/>
  <c r="K275" i="25" s="1"/>
  <c r="AW275" i="25"/>
  <c r="O314" i="25"/>
  <c r="AW314" i="25"/>
  <c r="O250" i="25"/>
  <c r="R250" i="25" s="1"/>
  <c r="AW250" i="25"/>
  <c r="O285" i="25"/>
  <c r="R285" i="25" s="1"/>
  <c r="AW285" i="25"/>
  <c r="O264" i="25"/>
  <c r="R264" i="25" s="1"/>
  <c r="AW264" i="25"/>
  <c r="O287" i="25"/>
  <c r="AW287" i="25"/>
  <c r="O223" i="25"/>
  <c r="S223" i="25" s="1"/>
  <c r="K223" i="25" s="1"/>
  <c r="AW223" i="25"/>
  <c r="O233" i="25"/>
  <c r="S233" i="25" s="1"/>
  <c r="K233" i="25" s="1"/>
  <c r="AW233" i="25"/>
  <c r="O236" i="25"/>
  <c r="S236" i="25" s="1"/>
  <c r="K236" i="25" s="1"/>
  <c r="AW236" i="25"/>
  <c r="BB178" i="24"/>
  <c r="BB193" i="24"/>
  <c r="BB173" i="24"/>
  <c r="BB127" i="24"/>
  <c r="BB180" i="24"/>
  <c r="BB148" i="24"/>
  <c r="AX187" i="25"/>
  <c r="AX209" i="25"/>
  <c r="BB179" i="24"/>
  <c r="BB116" i="24"/>
  <c r="BB119" i="24"/>
  <c r="AX128" i="25"/>
  <c r="AX192" i="25"/>
  <c r="BB174" i="24"/>
  <c r="BB198" i="24"/>
  <c r="BB153" i="24"/>
  <c r="BB171" i="24"/>
  <c r="BB172" i="24"/>
  <c r="AX129" i="25"/>
  <c r="AX145" i="25"/>
  <c r="BB205" i="24"/>
  <c r="BB136" i="24"/>
  <c r="AX148" i="25"/>
  <c r="BB147" i="24"/>
  <c r="BB124" i="24"/>
  <c r="BB131" i="24"/>
  <c r="BB111" i="24"/>
  <c r="AX111" i="25"/>
  <c r="AX133" i="25"/>
  <c r="AX197" i="25"/>
  <c r="AX158" i="25"/>
  <c r="AX139" i="25"/>
  <c r="BB162" i="24"/>
  <c r="AX120" i="25"/>
  <c r="AX152" i="25"/>
  <c r="AX168" i="25"/>
  <c r="BB194" i="24"/>
  <c r="AX121" i="25"/>
  <c r="AX118" i="25"/>
  <c r="AX205" i="25"/>
  <c r="O191" i="25"/>
  <c r="R191" i="25" s="1"/>
  <c r="AW191" i="25"/>
  <c r="O194" i="25"/>
  <c r="R194" i="25" s="1"/>
  <c r="AW194" i="25"/>
  <c r="BB176" i="24"/>
  <c r="AX191" i="25"/>
  <c r="O196" i="25"/>
  <c r="Q196" i="25" s="1"/>
  <c r="AW196" i="25"/>
  <c r="O112" i="25"/>
  <c r="R112" i="25" s="1"/>
  <c r="AW112" i="25"/>
  <c r="O209" i="25"/>
  <c r="Q209" i="25" s="1"/>
  <c r="AW209" i="25"/>
  <c r="O136" i="25"/>
  <c r="R136" i="25" s="1"/>
  <c r="AW136" i="25"/>
  <c r="O149" i="25"/>
  <c r="R149" i="25" s="1"/>
  <c r="AW149" i="25"/>
  <c r="O203" i="25"/>
  <c r="Q203" i="25" s="1"/>
  <c r="AW203" i="25"/>
  <c r="O176" i="25"/>
  <c r="R176" i="25" s="1"/>
  <c r="AW176" i="25"/>
  <c r="O202" i="25"/>
  <c r="R202" i="25" s="1"/>
  <c r="AW202" i="25"/>
  <c r="O122" i="25"/>
  <c r="R122" i="25" s="1"/>
  <c r="AW122" i="25"/>
  <c r="O173" i="25"/>
  <c r="R173" i="25" s="1"/>
  <c r="AW173" i="25"/>
  <c r="O127" i="25"/>
  <c r="Q127" i="25" s="1"/>
  <c r="AW127" i="25"/>
  <c r="O181" i="25"/>
  <c r="Q181" i="25" s="1"/>
  <c r="AW181" i="25"/>
  <c r="O117" i="25"/>
  <c r="Q117" i="25" s="1"/>
  <c r="AW117" i="25"/>
  <c r="O188" i="25"/>
  <c r="Q188" i="25" s="1"/>
  <c r="AW188" i="25"/>
  <c r="O124" i="25"/>
  <c r="Q124" i="25" s="1"/>
  <c r="AW124" i="25"/>
  <c r="O142" i="25"/>
  <c r="Q142" i="25" s="1"/>
  <c r="AW142" i="25"/>
  <c r="O200" i="25"/>
  <c r="Q200" i="25" s="1"/>
  <c r="AW200" i="25"/>
  <c r="O138" i="25"/>
  <c r="R138" i="25" s="1"/>
  <c r="AW138" i="25"/>
  <c r="BB204" i="24"/>
  <c r="O164" i="25"/>
  <c r="Q164" i="25" s="1"/>
  <c r="AW164" i="25"/>
  <c r="O182" i="25"/>
  <c r="R182" i="25" s="1"/>
  <c r="AW182" i="25"/>
  <c r="O201" i="25"/>
  <c r="R201" i="25" s="1"/>
  <c r="AW201" i="25"/>
  <c r="O159" i="25"/>
  <c r="R159" i="25" s="1"/>
  <c r="AW159" i="25"/>
  <c r="O130" i="25"/>
  <c r="Q130" i="25" s="1"/>
  <c r="AW130" i="25"/>
  <c r="AX135" i="25"/>
  <c r="O132" i="25"/>
  <c r="Q132" i="25" s="1"/>
  <c r="AW132" i="25"/>
  <c r="O169" i="25"/>
  <c r="Q169" i="25" s="1"/>
  <c r="AW169" i="25"/>
  <c r="O198" i="25"/>
  <c r="R198" i="25" s="1"/>
  <c r="AW198" i="25"/>
  <c r="O167" i="25"/>
  <c r="R167" i="25" s="1"/>
  <c r="AW167" i="25"/>
  <c r="O147" i="25"/>
  <c r="R147" i="25" s="1"/>
  <c r="AW147" i="25"/>
  <c r="O111" i="25"/>
  <c r="R111" i="25" s="1"/>
  <c r="AW111" i="25"/>
  <c r="O114" i="25"/>
  <c r="Q114" i="25" s="1"/>
  <c r="AW114" i="25"/>
  <c r="O187" i="25"/>
  <c r="Q187" i="25" s="1"/>
  <c r="AW187" i="25"/>
  <c r="O150" i="25"/>
  <c r="Q150" i="25" s="1"/>
  <c r="AW150" i="25"/>
  <c r="O163" i="25"/>
  <c r="Q163" i="25" s="1"/>
  <c r="AW163" i="25"/>
  <c r="O141" i="25"/>
  <c r="R141" i="25" s="1"/>
  <c r="AW141" i="25"/>
  <c r="O171" i="25"/>
  <c r="R171" i="25" s="1"/>
  <c r="AW171" i="25"/>
  <c r="O162" i="25"/>
  <c r="Q162" i="25" s="1"/>
  <c r="AW162" i="25"/>
  <c r="O155" i="25"/>
  <c r="Q155" i="25" s="1"/>
  <c r="AW155" i="25"/>
  <c r="O165" i="25"/>
  <c r="R165" i="25" s="1"/>
  <c r="AW165" i="25"/>
  <c r="O195" i="25"/>
  <c r="Q195" i="25" s="1"/>
  <c r="AW195" i="25"/>
  <c r="O172" i="25"/>
  <c r="R172" i="25" s="1"/>
  <c r="AW172" i="25"/>
  <c r="O190" i="25"/>
  <c r="Q190" i="25" s="1"/>
  <c r="AW190" i="25"/>
  <c r="O126" i="25"/>
  <c r="R126" i="25" s="1"/>
  <c r="AW126" i="25"/>
  <c r="O113" i="25"/>
  <c r="Q113" i="25" s="1"/>
  <c r="AW113" i="25"/>
  <c r="O184" i="25"/>
  <c r="Q184" i="25" s="1"/>
  <c r="AW184" i="25"/>
  <c r="O189" i="25"/>
  <c r="R189" i="25" s="1"/>
  <c r="AW189" i="25"/>
  <c r="O131" i="25"/>
  <c r="Q131" i="25" s="1"/>
  <c r="AW131" i="25"/>
  <c r="O135" i="25"/>
  <c r="R135" i="25" s="1"/>
  <c r="AW135" i="25"/>
  <c r="BB121" i="24"/>
  <c r="BB151" i="24"/>
  <c r="BB130" i="24"/>
  <c r="AX149" i="25"/>
  <c r="O179" i="25"/>
  <c r="Q179" i="25" s="1"/>
  <c r="AW179" i="25"/>
  <c r="O137" i="25"/>
  <c r="R137" i="25" s="1"/>
  <c r="AW137" i="25"/>
  <c r="O134" i="25"/>
  <c r="Q134" i="25" s="1"/>
  <c r="AW134" i="25"/>
  <c r="O119" i="25"/>
  <c r="Q119" i="25" s="1"/>
  <c r="AW119" i="25"/>
  <c r="O175" i="25"/>
  <c r="R175" i="25" s="1"/>
  <c r="AW175" i="25"/>
  <c r="O193" i="25"/>
  <c r="Q193" i="25" s="1"/>
  <c r="AW193" i="25"/>
  <c r="O156" i="25"/>
  <c r="R156" i="25" s="1"/>
  <c r="AW156" i="25"/>
  <c r="O115" i="25"/>
  <c r="R115" i="25" s="1"/>
  <c r="AW115" i="25"/>
  <c r="BB120" i="24"/>
  <c r="AX115" i="25"/>
  <c r="AX194" i="25"/>
  <c r="O186" i="25"/>
  <c r="Q186" i="25" s="1"/>
  <c r="AW186" i="25"/>
  <c r="O144" i="25"/>
  <c r="Q144" i="25" s="1"/>
  <c r="AW144" i="25"/>
  <c r="O153" i="25"/>
  <c r="Q153" i="25" s="1"/>
  <c r="AW153" i="25"/>
  <c r="O166" i="25"/>
  <c r="Q166" i="25" s="1"/>
  <c r="AW166" i="25"/>
  <c r="O129" i="25"/>
  <c r="Q129" i="25" s="1"/>
  <c r="AW129" i="25"/>
  <c r="O210" i="25"/>
  <c r="Q210" i="25" s="1"/>
  <c r="AW210" i="25"/>
  <c r="O143" i="25"/>
  <c r="Q143" i="25" s="1"/>
  <c r="AW143" i="25"/>
  <c r="O208" i="25"/>
  <c r="Q208" i="25" s="1"/>
  <c r="AW208" i="25"/>
  <c r="O170" i="25"/>
  <c r="R170" i="25" s="1"/>
  <c r="AW170" i="25"/>
  <c r="O125" i="25"/>
  <c r="Q125" i="25" s="1"/>
  <c r="AW125" i="25"/>
  <c r="O180" i="25"/>
  <c r="R180" i="25" s="1"/>
  <c r="AW180" i="25"/>
  <c r="O146" i="25"/>
  <c r="Q146" i="25" s="1"/>
  <c r="AW146" i="25"/>
  <c r="O151" i="25"/>
  <c r="R151" i="25" s="1"/>
  <c r="AW151" i="25"/>
  <c r="O207" i="25"/>
  <c r="Q207" i="25" s="1"/>
  <c r="AW207" i="25"/>
  <c r="O177" i="25"/>
  <c r="R177" i="25" s="1"/>
  <c r="AW177" i="25"/>
  <c r="O183" i="25"/>
  <c r="Q183" i="25" s="1"/>
  <c r="AW183" i="25"/>
  <c r="O157" i="25"/>
  <c r="R157" i="25" s="1"/>
  <c r="AW157" i="25"/>
  <c r="BB189" i="24"/>
  <c r="BB156" i="24"/>
  <c r="AX153" i="25"/>
  <c r="AX169" i="25"/>
  <c r="AX166" i="25"/>
  <c r="AX198" i="25"/>
  <c r="AX147" i="25"/>
  <c r="O154" i="25"/>
  <c r="Q154" i="25" s="1"/>
  <c r="AW154" i="25"/>
  <c r="O116" i="25"/>
  <c r="Q116" i="25" s="1"/>
  <c r="AW116" i="25"/>
  <c r="O160" i="25"/>
  <c r="R160" i="25" s="1"/>
  <c r="AW160" i="25"/>
  <c r="O185" i="25"/>
  <c r="Q185" i="25" s="1"/>
  <c r="AW185" i="25"/>
  <c r="O174" i="25"/>
  <c r="Q174" i="25" s="1"/>
  <c r="AW174" i="25"/>
  <c r="O178" i="25"/>
  <c r="Q178" i="25" s="1"/>
  <c r="AW178" i="25"/>
  <c r="O161" i="25"/>
  <c r="Q161" i="25" s="1"/>
  <c r="AW161" i="25"/>
  <c r="O199" i="25"/>
  <c r="R199" i="25" s="1"/>
  <c r="AW199" i="25"/>
  <c r="BB117" i="24"/>
  <c r="O123" i="25"/>
  <c r="R123" i="25" s="1"/>
  <c r="AW123" i="25"/>
  <c r="O206" i="25"/>
  <c r="Q206" i="25" s="1"/>
  <c r="AW206" i="25"/>
  <c r="O192" i="25"/>
  <c r="R192" i="25" s="1"/>
  <c r="AW192" i="25"/>
  <c r="O120" i="25"/>
  <c r="R120" i="25" s="1"/>
  <c r="AW120" i="25"/>
  <c r="O168" i="25"/>
  <c r="Q168" i="25" s="1"/>
  <c r="AW168" i="25"/>
  <c r="O140" i="25"/>
  <c r="R140" i="25" s="1"/>
  <c r="AW140" i="25"/>
  <c r="O118" i="25"/>
  <c r="R118" i="25" s="1"/>
  <c r="AW118" i="25"/>
  <c r="O121" i="25"/>
  <c r="Q121" i="25" s="1"/>
  <c r="AW121" i="25"/>
  <c r="O128" i="25"/>
  <c r="Q128" i="25" s="1"/>
  <c r="AW128" i="25"/>
  <c r="O205" i="25"/>
  <c r="Q205" i="25" s="1"/>
  <c r="AW205" i="25"/>
  <c r="O148" i="25"/>
  <c r="Q148" i="25" s="1"/>
  <c r="AW148" i="25"/>
  <c r="O197" i="25"/>
  <c r="Q197" i="25" s="1"/>
  <c r="AW197" i="25"/>
  <c r="O133" i="25"/>
  <c r="R133" i="25" s="1"/>
  <c r="AW133" i="25"/>
  <c r="O204" i="25"/>
  <c r="R204" i="25" s="1"/>
  <c r="AW204" i="25"/>
  <c r="O158" i="25"/>
  <c r="R158" i="25" s="1"/>
  <c r="AW158" i="25"/>
  <c r="O145" i="25"/>
  <c r="R145" i="25" s="1"/>
  <c r="AW145" i="25"/>
  <c r="O139" i="25"/>
  <c r="R139" i="25" s="1"/>
  <c r="AW139" i="25"/>
  <c r="O152" i="25"/>
  <c r="Q152" i="25" s="1"/>
  <c r="AW152" i="25"/>
  <c r="Q311" i="24"/>
  <c r="AZ59" i="25"/>
  <c r="AZ85" i="25"/>
  <c r="AZ66" i="25"/>
  <c r="AZ38" i="25"/>
  <c r="AZ41" i="25"/>
  <c r="AZ103" i="25"/>
  <c r="AZ64" i="25"/>
  <c r="AZ23" i="25"/>
  <c r="AZ22" i="25"/>
  <c r="AZ48" i="25"/>
  <c r="AZ7" i="25"/>
  <c r="AZ88" i="25"/>
  <c r="AZ53" i="25"/>
  <c r="AZ16" i="25"/>
  <c r="AZ54" i="25"/>
  <c r="BA253" i="24"/>
  <c r="BA232" i="24"/>
  <c r="BA311" i="24"/>
  <c r="BA279" i="24"/>
  <c r="BA283" i="24"/>
  <c r="BA273" i="24"/>
  <c r="BA271" i="24"/>
  <c r="BA308" i="24"/>
  <c r="BA286" i="24"/>
  <c r="BA269" i="24"/>
  <c r="BA291" i="24"/>
  <c r="BA248" i="24"/>
  <c r="AX241" i="25"/>
  <c r="AX257" i="25"/>
  <c r="AX255" i="25"/>
  <c r="AX298" i="25"/>
  <c r="AX305" i="25"/>
  <c r="AZ89" i="25"/>
  <c r="AZ5" i="25"/>
  <c r="AZ69" i="25"/>
  <c r="AZ82" i="25"/>
  <c r="AZ12" i="25"/>
  <c r="AZ8" i="25"/>
  <c r="AZ58" i="25"/>
  <c r="AZ31" i="25"/>
  <c r="AZ36" i="25"/>
  <c r="AZ102" i="25"/>
  <c r="AZ75" i="25"/>
  <c r="AZ24" i="25"/>
  <c r="AZ67" i="25"/>
  <c r="BA270" i="24"/>
  <c r="BA317" i="24"/>
  <c r="BA288" i="24"/>
  <c r="BA301" i="24"/>
  <c r="BA280" i="24"/>
  <c r="BA295" i="24"/>
  <c r="BA263" i="24"/>
  <c r="BA294" i="24"/>
  <c r="BA243" i="24"/>
  <c r="BA265" i="24"/>
  <c r="BA235" i="24"/>
  <c r="BA244" i="24"/>
  <c r="BA258" i="24"/>
  <c r="BA227" i="24"/>
  <c r="BA234" i="24"/>
  <c r="AZ29" i="25"/>
  <c r="AZ20" i="25"/>
  <c r="AZ104" i="25"/>
  <c r="AZ96" i="25"/>
  <c r="AZ100" i="25"/>
  <c r="AZ98" i="25"/>
  <c r="AZ32" i="25"/>
  <c r="AZ11" i="25"/>
  <c r="AZ94" i="25"/>
  <c r="AZ52" i="25"/>
  <c r="AZ49" i="25"/>
  <c r="BA261" i="24"/>
  <c r="BA297" i="24"/>
  <c r="BA245" i="24"/>
  <c r="BA224" i="24"/>
  <c r="BA237" i="24"/>
  <c r="BA238" i="24"/>
  <c r="BA309" i="24"/>
  <c r="BA230" i="24"/>
  <c r="BA239" i="24"/>
  <c r="BA313" i="24"/>
  <c r="AX261" i="25"/>
  <c r="AX307" i="25"/>
  <c r="T110" i="25"/>
  <c r="U110" i="25" s="1"/>
  <c r="AX110" i="25"/>
  <c r="AZ70" i="25"/>
  <c r="AZ73" i="25"/>
  <c r="AZ51" i="25"/>
  <c r="AZ35" i="25"/>
  <c r="AZ81" i="25"/>
  <c r="AZ97" i="25"/>
  <c r="AZ80" i="25"/>
  <c r="AZ105" i="25"/>
  <c r="B101" i="2" s="1"/>
  <c r="AZ99" i="25"/>
  <c r="AZ79" i="25"/>
  <c r="AZ65" i="25"/>
  <c r="AZ62" i="25"/>
  <c r="AZ10" i="25"/>
  <c r="AZ19" i="25"/>
  <c r="BA292" i="24"/>
  <c r="BA262" i="24"/>
  <c r="BA290" i="24"/>
  <c r="BA233" i="24"/>
  <c r="BA315" i="24"/>
  <c r="BA260" i="24"/>
  <c r="BA299" i="24"/>
  <c r="BA316" i="24"/>
  <c r="BA241" i="24"/>
  <c r="BA277" i="24"/>
  <c r="BA110" i="24"/>
  <c r="B86" i="2" s="1"/>
  <c r="BA256" i="24"/>
  <c r="BA278" i="24"/>
  <c r="BA249" i="24"/>
  <c r="AZ37" i="25"/>
  <c r="AZ71" i="25"/>
  <c r="AZ90" i="25"/>
  <c r="AZ14" i="25"/>
  <c r="AZ21" i="25"/>
  <c r="AZ6" i="25"/>
  <c r="AZ18" i="25"/>
  <c r="AZ92" i="25"/>
  <c r="AZ101" i="25"/>
  <c r="AZ15" i="25"/>
  <c r="AZ84" i="25"/>
  <c r="AZ78" i="25"/>
  <c r="BA218" i="24"/>
  <c r="BA228" i="24"/>
  <c r="BA289" i="24"/>
  <c r="BA307" i="24"/>
  <c r="BA281" i="24"/>
  <c r="BA255" i="24"/>
  <c r="BA275" i="24"/>
  <c r="BA252" i="24"/>
  <c r="BA282" i="24"/>
  <c r="BA250" i="24"/>
  <c r="AX249" i="25"/>
  <c r="AX239" i="25"/>
  <c r="AX315" i="25"/>
  <c r="AZ25" i="25"/>
  <c r="AZ17" i="25"/>
  <c r="AZ43" i="25"/>
  <c r="AZ34" i="25"/>
  <c r="AZ63" i="25"/>
  <c r="AZ13" i="25"/>
  <c r="AZ83" i="25"/>
  <c r="AZ44" i="25"/>
  <c r="AZ74" i="25"/>
  <c r="AZ47" i="25"/>
  <c r="AZ61" i="25"/>
  <c r="AZ72" i="25"/>
  <c r="BA226" i="24"/>
  <c r="BA284" i="24"/>
  <c r="BA259" i="24"/>
  <c r="BA303" i="24"/>
  <c r="BA225" i="24"/>
  <c r="BA287" i="24"/>
  <c r="BA217" i="24"/>
  <c r="BA293" i="24"/>
  <c r="BA272" i="24"/>
  <c r="BA231" i="24"/>
  <c r="BA246" i="24"/>
  <c r="BA300" i="24"/>
  <c r="AZ91" i="25"/>
  <c r="AZ68" i="25"/>
  <c r="AZ50" i="25"/>
  <c r="AZ33" i="25"/>
  <c r="AZ39" i="25"/>
  <c r="AZ76" i="25"/>
  <c r="AZ46" i="25"/>
  <c r="AZ93" i="25"/>
  <c r="AZ60" i="25"/>
  <c r="AZ95" i="25"/>
  <c r="AZ30" i="25"/>
  <c r="AZ27" i="25"/>
  <c r="AZ57" i="25"/>
  <c r="BA304" i="24"/>
  <c r="BA298" i="24"/>
  <c r="BA220" i="24"/>
  <c r="BA254" i="24"/>
  <c r="BA305" i="24"/>
  <c r="BA310" i="24"/>
  <c r="BA251" i="24"/>
  <c r="BA229" i="24"/>
  <c r="BA306" i="24"/>
  <c r="BA302" i="24"/>
  <c r="BA285" i="24"/>
  <c r="BA264" i="24"/>
  <c r="BA247" i="24"/>
  <c r="BA257" i="24"/>
  <c r="BA236" i="24"/>
  <c r="BA242" i="24"/>
  <c r="AX237" i="25"/>
  <c r="AX269" i="25"/>
  <c r="AX293" i="25"/>
  <c r="AX283" i="25"/>
  <c r="AX303" i="25"/>
  <c r="AZ186" i="25"/>
  <c r="AZ301" i="25"/>
  <c r="AZ232" i="25"/>
  <c r="AZ286" i="25"/>
  <c r="AZ206" i="25"/>
  <c r="AZ260" i="25"/>
  <c r="AZ116" i="25"/>
  <c r="AZ179" i="25"/>
  <c r="AZ224" i="25"/>
  <c r="AZ284" i="25"/>
  <c r="AZ140" i="25"/>
  <c r="AZ203" i="25"/>
  <c r="AZ138" i="25"/>
  <c r="AZ177" i="25"/>
  <c r="AZ239" i="25"/>
  <c r="AZ270" i="25"/>
  <c r="AZ134" i="25"/>
  <c r="AZ299" i="25"/>
  <c r="AZ298" i="25"/>
  <c r="AZ194" i="25"/>
  <c r="AZ170" i="25"/>
  <c r="AZ127" i="25"/>
  <c r="AZ258" i="25"/>
  <c r="AZ126" i="25"/>
  <c r="AZ227" i="25"/>
  <c r="AZ166" i="25"/>
  <c r="AZ193" i="25"/>
  <c r="AZ223" i="25"/>
  <c r="AZ273" i="25"/>
  <c r="AZ283" i="25"/>
  <c r="AZ147" i="25"/>
  <c r="AZ269" i="25"/>
  <c r="AZ185" i="25"/>
  <c r="AZ247" i="25"/>
  <c r="AZ278" i="25"/>
  <c r="AZ297" i="25"/>
  <c r="AZ309" i="25"/>
  <c r="AZ307" i="25"/>
  <c r="AZ174" i="25"/>
  <c r="AZ171" i="25"/>
  <c r="AZ145" i="25"/>
  <c r="AZ200" i="25"/>
  <c r="AZ257" i="25"/>
  <c r="AZ240" i="25"/>
  <c r="AZ263" i="25"/>
  <c r="AZ294" i="25"/>
  <c r="AZ182" i="25"/>
  <c r="AZ259" i="25"/>
  <c r="AZ202" i="25"/>
  <c r="AZ114" i="25"/>
  <c r="AZ161" i="25"/>
  <c r="AZ184" i="25"/>
  <c r="AZ254" i="25"/>
  <c r="AZ285" i="25"/>
  <c r="AZ228" i="25"/>
  <c r="AZ314" i="25"/>
  <c r="AZ115" i="25"/>
  <c r="AZ146" i="25"/>
  <c r="AZ153" i="25"/>
  <c r="AZ208" i="25"/>
  <c r="AZ252" i="25"/>
  <c r="AZ139" i="25"/>
  <c r="AZ312" i="25"/>
  <c r="AZ113" i="25"/>
  <c r="AZ168" i="25"/>
  <c r="AZ238" i="25"/>
  <c r="AZ308" i="25"/>
  <c r="AZ267" i="25"/>
  <c r="AZ266" i="25"/>
  <c r="AZ277" i="25"/>
  <c r="AZ235" i="25"/>
  <c r="AZ198" i="25"/>
  <c r="AZ201" i="25"/>
  <c r="AZ188" i="25"/>
  <c r="AZ226" i="25"/>
  <c r="AZ300" i="25"/>
  <c r="AZ129" i="25"/>
  <c r="AZ152" i="25"/>
  <c r="AZ245" i="25"/>
  <c r="AZ158" i="25"/>
  <c r="AZ189" i="25"/>
  <c r="AZ251" i="25"/>
  <c r="AZ121" i="25"/>
  <c r="AZ176" i="25"/>
  <c r="AZ246" i="25"/>
  <c r="AZ317" i="25"/>
  <c r="AZ253" i="25"/>
  <c r="AZ275" i="25"/>
  <c r="AZ306" i="25"/>
  <c r="AZ210" i="25"/>
  <c r="AZ136" i="25"/>
  <c r="AZ199" i="25"/>
  <c r="AZ196" i="25"/>
  <c r="AZ130" i="25"/>
  <c r="AZ169" i="25"/>
  <c r="AZ231" i="25"/>
  <c r="AZ262" i="25"/>
  <c r="AZ268" i="25"/>
  <c r="AZ156" i="25"/>
  <c r="AZ187" i="25"/>
  <c r="AZ281" i="25"/>
  <c r="AZ296" i="25"/>
  <c r="AZ120" i="25"/>
  <c r="AZ222" i="25"/>
  <c r="AZ110" i="25"/>
  <c r="AZ157" i="25"/>
  <c r="AZ282" i="25"/>
  <c r="AZ249" i="25"/>
  <c r="AZ288" i="25"/>
  <c r="AZ144" i="25"/>
  <c r="AZ207" i="25"/>
  <c r="AZ142" i="25"/>
  <c r="AZ220" i="25"/>
  <c r="AZ280" i="25"/>
  <c r="AZ303" i="25"/>
  <c r="AZ162" i="25"/>
  <c r="AZ167" i="25"/>
  <c r="AZ244" i="25"/>
  <c r="AZ164" i="25"/>
  <c r="AZ234" i="25"/>
  <c r="AZ221" i="25"/>
  <c r="AZ313" i="25"/>
  <c r="AZ137" i="25"/>
  <c r="AZ192" i="25"/>
  <c r="AZ197" i="25"/>
  <c r="AZ124" i="25"/>
  <c r="AZ155" i="25"/>
  <c r="AZ236" i="25"/>
  <c r="AZ287" i="25"/>
  <c r="AZ183" i="25"/>
  <c r="AZ265" i="25"/>
  <c r="AZ125" i="25"/>
  <c r="AZ219" i="25"/>
  <c r="AZ311" i="25"/>
  <c r="AZ112" i="25"/>
  <c r="AZ175" i="25"/>
  <c r="AZ233" i="25"/>
  <c r="AZ181" i="25"/>
  <c r="AZ243" i="25"/>
  <c r="AZ274" i="25"/>
  <c r="AZ293" i="25"/>
  <c r="AZ135" i="25"/>
  <c r="AZ173" i="25"/>
  <c r="AZ132" i="25"/>
  <c r="AZ195" i="25"/>
  <c r="AZ178" i="25"/>
  <c r="AZ304" i="25"/>
  <c r="AZ154" i="25"/>
  <c r="AZ160" i="25"/>
  <c r="AZ230" i="25"/>
  <c r="AZ133" i="25"/>
  <c r="AZ123" i="25"/>
  <c r="AZ165" i="25"/>
  <c r="AZ229" i="25"/>
  <c r="AZ264" i="25"/>
  <c r="AZ318" i="25"/>
  <c r="AZ151" i="25"/>
  <c r="AZ292" i="25"/>
  <c r="AZ180" i="25"/>
  <c r="AZ250" i="25"/>
  <c r="AZ241" i="25"/>
  <c r="AZ256" i="25"/>
  <c r="AZ143" i="25"/>
  <c r="AZ316" i="25"/>
  <c r="AZ149" i="25"/>
  <c r="AZ204" i="25"/>
  <c r="AZ248" i="25"/>
  <c r="AZ271" i="25"/>
  <c r="AZ302" i="25"/>
  <c r="AZ141" i="25"/>
  <c r="AZ150" i="25"/>
  <c r="AZ163" i="25"/>
  <c r="AZ276" i="25"/>
  <c r="AZ128" i="25"/>
  <c r="AZ191" i="25"/>
  <c r="AZ290" i="25"/>
  <c r="AZ122" i="25"/>
  <c r="AZ255" i="25"/>
  <c r="AZ119" i="25"/>
  <c r="AZ289" i="25"/>
  <c r="AZ315" i="25"/>
  <c r="AZ148" i="25"/>
  <c r="AZ218" i="25"/>
  <c r="AZ190" i="25"/>
  <c r="AZ279" i="25"/>
  <c r="AZ310" i="25"/>
  <c r="AZ111" i="25"/>
  <c r="AZ225" i="25"/>
  <c r="AZ117" i="25"/>
  <c r="AZ172" i="25"/>
  <c r="AZ242" i="25"/>
  <c r="AZ237" i="25"/>
  <c r="AZ209" i="25"/>
  <c r="AZ305" i="25"/>
  <c r="AZ131" i="25"/>
  <c r="AZ205" i="25"/>
  <c r="AZ261" i="25"/>
  <c r="AZ272" i="25"/>
  <c r="AZ295" i="25"/>
  <c r="AZ118" i="25"/>
  <c r="AZ159" i="25"/>
  <c r="AZ291" i="25"/>
  <c r="AY115" i="25"/>
  <c r="AY226" i="25"/>
  <c r="AY243" i="25"/>
  <c r="AY255" i="25"/>
  <c r="AY244" i="25"/>
  <c r="AY281" i="25"/>
  <c r="AY299" i="25"/>
  <c r="AY249" i="25"/>
  <c r="AY201" i="25"/>
  <c r="AY148" i="25"/>
  <c r="AY186" i="25"/>
  <c r="AY154" i="25"/>
  <c r="AY231" i="25"/>
  <c r="AY297" i="25"/>
  <c r="AY187" i="25"/>
  <c r="AY190" i="25"/>
  <c r="AY218" i="25"/>
  <c r="AY121" i="25"/>
  <c r="AY136" i="25"/>
  <c r="AY120" i="25"/>
  <c r="AY293" i="25"/>
  <c r="AY165" i="25"/>
  <c r="AY285" i="25"/>
  <c r="AY310" i="25"/>
  <c r="AY181" i="25"/>
  <c r="AY272" i="25"/>
  <c r="AY204" i="25"/>
  <c r="AY257" i="25"/>
  <c r="AY209" i="25"/>
  <c r="AY176" i="25"/>
  <c r="AY147" i="25"/>
  <c r="AY258" i="25"/>
  <c r="AY311" i="25"/>
  <c r="AY167" i="25"/>
  <c r="AY261" i="25"/>
  <c r="AY259" i="25"/>
  <c r="AY111" i="25"/>
  <c r="AY198" i="25"/>
  <c r="AY270" i="25"/>
  <c r="AY113" i="25"/>
  <c r="AY132" i="25"/>
  <c r="AY302" i="25"/>
  <c r="AY282" i="25"/>
  <c r="AY292" i="25"/>
  <c r="AY126" i="25"/>
  <c r="AY169" i="25"/>
  <c r="AY294" i="25"/>
  <c r="AY251" i="25"/>
  <c r="AY127" i="25"/>
  <c r="AY221" i="25"/>
  <c r="AY290" i="25"/>
  <c r="AY123" i="25"/>
  <c r="AY234" i="25"/>
  <c r="AY287" i="25"/>
  <c r="AY262" i="25"/>
  <c r="AY252" i="25"/>
  <c r="AY284" i="25"/>
  <c r="AY307" i="25"/>
  <c r="AY189" i="25"/>
  <c r="AY280" i="25"/>
  <c r="AY239" i="25"/>
  <c r="AY153" i="25"/>
  <c r="AY182" i="25"/>
  <c r="AY222" i="25"/>
  <c r="AY202" i="25"/>
  <c r="AY166" i="25"/>
  <c r="AY271" i="25"/>
  <c r="AY117" i="25"/>
  <c r="AY269" i="25"/>
  <c r="AY279" i="25"/>
  <c r="AY119" i="25"/>
  <c r="AY206" i="25"/>
  <c r="AY275" i="25"/>
  <c r="AY142" i="25"/>
  <c r="AY301" i="25"/>
  <c r="AY260" i="25"/>
  <c r="AY159" i="25"/>
  <c r="AY253" i="25"/>
  <c r="AY286" i="25"/>
  <c r="AY288" i="25"/>
  <c r="AY277" i="25"/>
  <c r="AY161" i="25"/>
  <c r="AY207" i="25"/>
  <c r="AY134" i="25"/>
  <c r="AY124" i="25"/>
  <c r="AY188" i="25"/>
  <c r="AY129" i="25"/>
  <c r="AY149" i="25"/>
  <c r="AY317" i="25"/>
  <c r="AY171" i="25"/>
  <c r="AY116" i="25"/>
  <c r="AY315" i="25"/>
  <c r="AY133" i="25"/>
  <c r="AY232" i="25"/>
  <c r="AY210" i="25"/>
  <c r="AY130" i="25"/>
  <c r="AY309" i="25"/>
  <c r="AY233" i="25"/>
  <c r="AY185" i="25"/>
  <c r="AY304" i="25"/>
  <c r="AY135" i="25"/>
  <c r="AY229" i="25"/>
  <c r="AY298" i="25"/>
  <c r="AY131" i="25"/>
  <c r="AY242" i="25"/>
  <c r="AY295" i="25"/>
  <c r="AY273" i="25"/>
  <c r="AY179" i="25"/>
  <c r="AY118" i="25"/>
  <c r="AY138" i="25"/>
  <c r="AY194" i="25"/>
  <c r="AY158" i="25"/>
  <c r="AY238" i="25"/>
  <c r="AY205" i="25"/>
  <c r="AY199" i="25"/>
  <c r="AY267" i="25"/>
  <c r="AY156" i="25"/>
  <c r="AY240" i="25"/>
  <c r="AY318" i="25"/>
  <c r="AY225" i="25"/>
  <c r="AY177" i="25"/>
  <c r="AY296" i="25"/>
  <c r="AY175" i="25"/>
  <c r="AY196" i="25"/>
  <c r="AY314" i="25"/>
  <c r="AY300" i="25"/>
  <c r="AY203" i="25"/>
  <c r="AY144" i="25"/>
  <c r="AY152" i="25"/>
  <c r="AY313" i="25"/>
  <c r="AY164" i="25"/>
  <c r="AY256" i="25"/>
  <c r="AY168" i="25"/>
  <c r="AY170" i="25"/>
  <c r="AY128" i="25"/>
  <c r="AY146" i="25"/>
  <c r="AY137" i="25"/>
  <c r="AY162" i="25"/>
  <c r="AY180" i="25"/>
  <c r="AY139" i="25"/>
  <c r="AY250" i="25"/>
  <c r="AY303" i="25"/>
  <c r="AY289" i="25"/>
  <c r="AY122" i="25"/>
  <c r="AY224" i="25"/>
  <c r="AY246" i="25"/>
  <c r="AY110" i="25"/>
  <c r="B96" i="2" s="1"/>
  <c r="AY308" i="25"/>
  <c r="AY183" i="25"/>
  <c r="AY220" i="25"/>
  <c r="AY235" i="25"/>
  <c r="AY276" i="25"/>
  <c r="AY160" i="25"/>
  <c r="AY248" i="25"/>
  <c r="AY112" i="25"/>
  <c r="AY173" i="25"/>
  <c r="AY178" i="25"/>
  <c r="AY151" i="25"/>
  <c r="AY125" i="25"/>
  <c r="AY155" i="25"/>
  <c r="AY305" i="25"/>
  <c r="AY191" i="25"/>
  <c r="AY219" i="25"/>
  <c r="AY163" i="25"/>
  <c r="AY227" i="25"/>
  <c r="AY236" i="25"/>
  <c r="AY278" i="25"/>
  <c r="AY291" i="25"/>
  <c r="AY241" i="25"/>
  <c r="AY193" i="25"/>
  <c r="AY312" i="25"/>
  <c r="AY143" i="25"/>
  <c r="AY237" i="25"/>
  <c r="AY306" i="25"/>
  <c r="AY145" i="25"/>
  <c r="AY174" i="25"/>
  <c r="AY208" i="25"/>
  <c r="AY247" i="25"/>
  <c r="AY197" i="25"/>
  <c r="AY192" i="25"/>
  <c r="AY150" i="25"/>
  <c r="AY195" i="25"/>
  <c r="AY172" i="25"/>
  <c r="AY184" i="25"/>
  <c r="AY140" i="25"/>
  <c r="AY316" i="25"/>
  <c r="AY114" i="25"/>
  <c r="AY228" i="25"/>
  <c r="AY263" i="25"/>
  <c r="AY283" i="25"/>
  <c r="AY157" i="25"/>
  <c r="AY265" i="25"/>
  <c r="AY254" i="25"/>
  <c r="AY264" i="25"/>
  <c r="AY141" i="25"/>
  <c r="AY245" i="25"/>
  <c r="AY268" i="25"/>
  <c r="AY266" i="25"/>
  <c r="AY230" i="25"/>
  <c r="AY200" i="25"/>
  <c r="AY223" i="25"/>
  <c r="AY274" i="25"/>
  <c r="AZ28" i="25"/>
  <c r="AZ26" i="25"/>
  <c r="AZ55" i="25"/>
  <c r="AZ87" i="25"/>
  <c r="AZ56" i="25"/>
  <c r="AZ45" i="25"/>
  <c r="AZ42" i="25"/>
  <c r="AZ77" i="25"/>
  <c r="AZ86" i="25"/>
  <c r="AZ40" i="25"/>
  <c r="BA240" i="24"/>
  <c r="BA296" i="24"/>
  <c r="BA276" i="24"/>
  <c r="BA219" i="24"/>
  <c r="BA274" i="24"/>
  <c r="BA268" i="24"/>
  <c r="BA314" i="24"/>
  <c r="BA221" i="24"/>
  <c r="BA266" i="24"/>
  <c r="BA222" i="24"/>
  <c r="BA223" i="24"/>
  <c r="BA267" i="24"/>
  <c r="BA312" i="24"/>
  <c r="P5" i="24"/>
  <c r="CE99" i="24" s="1"/>
  <c r="BB57" i="24"/>
  <c r="BB13" i="24"/>
  <c r="BB80" i="24"/>
  <c r="BB48" i="24"/>
  <c r="BB16" i="24"/>
  <c r="BB103" i="24"/>
  <c r="BB71" i="24"/>
  <c r="BB39" i="24"/>
  <c r="BB7" i="24"/>
  <c r="BB94" i="24"/>
  <c r="BB62" i="24"/>
  <c r="BB30" i="24"/>
  <c r="BB20" i="24"/>
  <c r="BB34" i="24"/>
  <c r="BB49" i="24"/>
  <c r="BB9" i="24"/>
  <c r="BB76" i="24"/>
  <c r="BB44" i="24"/>
  <c r="BB12" i="24"/>
  <c r="BB99" i="24"/>
  <c r="BB67" i="24"/>
  <c r="BB35" i="24"/>
  <c r="BB93" i="24"/>
  <c r="BB90" i="24"/>
  <c r="BB58" i="24"/>
  <c r="BB26" i="24"/>
  <c r="BB84" i="24"/>
  <c r="BB98" i="24"/>
  <c r="BB45" i="24"/>
  <c r="BB104" i="24"/>
  <c r="BB72" i="24"/>
  <c r="BB40" i="24"/>
  <c r="BB8" i="24"/>
  <c r="BB95" i="24"/>
  <c r="BB63" i="24"/>
  <c r="BB31" i="24"/>
  <c r="BB81" i="24"/>
  <c r="BB86" i="24"/>
  <c r="BB54" i="24"/>
  <c r="BB22" i="24"/>
  <c r="BB65" i="24"/>
  <c r="BB75" i="24"/>
  <c r="BB66" i="24"/>
  <c r="BB105" i="24"/>
  <c r="B91" i="2" s="1"/>
  <c r="BB33" i="24"/>
  <c r="BB100" i="24"/>
  <c r="BB68" i="24"/>
  <c r="BB36" i="24"/>
  <c r="BB101" i="24"/>
  <c r="BB91" i="24"/>
  <c r="BB59" i="24"/>
  <c r="BB27" i="24"/>
  <c r="BB69" i="24"/>
  <c r="BB82" i="24"/>
  <c r="BB50" i="24"/>
  <c r="BB18" i="24"/>
  <c r="BB17" i="24"/>
  <c r="BB96" i="24"/>
  <c r="BB89" i="24"/>
  <c r="BB55" i="24"/>
  <c r="BB23" i="24"/>
  <c r="BB53" i="24"/>
  <c r="BB14" i="24"/>
  <c r="BB37" i="24"/>
  <c r="BB11" i="24"/>
  <c r="BB29" i="24"/>
  <c r="BB32" i="24"/>
  <c r="BB46" i="24"/>
  <c r="BB85" i="24"/>
  <c r="BB25" i="24"/>
  <c r="BB92" i="24"/>
  <c r="BB60" i="24"/>
  <c r="BB28" i="24"/>
  <c r="BB73" i="24"/>
  <c r="BB83" i="24"/>
  <c r="BB51" i="24"/>
  <c r="BB19" i="24"/>
  <c r="BB41" i="24"/>
  <c r="BB74" i="24"/>
  <c r="BB42" i="24"/>
  <c r="BB10" i="24"/>
  <c r="BB52" i="24"/>
  <c r="BB43" i="24"/>
  <c r="BB97" i="24"/>
  <c r="BB64" i="24"/>
  <c r="BB87" i="24"/>
  <c r="BB78" i="24"/>
  <c r="BB77" i="24"/>
  <c r="BB21" i="24"/>
  <c r="BB88" i="24"/>
  <c r="BB56" i="24"/>
  <c r="BB24" i="24"/>
  <c r="BB61" i="24"/>
  <c r="BB79" i="24"/>
  <c r="BB47" i="24"/>
  <c r="BB15" i="24"/>
  <c r="BB102" i="24"/>
  <c r="BB70" i="24"/>
  <c r="BB38" i="24"/>
  <c r="BB6" i="24"/>
  <c r="N124" i="24"/>
  <c r="N156" i="24"/>
  <c r="P156" i="24" s="1"/>
  <c r="N180" i="24"/>
  <c r="P180" i="24" s="1"/>
  <c r="N121" i="24"/>
  <c r="Q121" i="24" s="1"/>
  <c r="N117" i="24"/>
  <c r="P117" i="24" s="1"/>
  <c r="N114" i="24"/>
  <c r="P114" i="24" s="1"/>
  <c r="N176" i="24"/>
  <c r="P176" i="24" s="1"/>
  <c r="N120" i="24"/>
  <c r="Q120" i="24" s="1"/>
  <c r="N191" i="24"/>
  <c r="N205" i="24"/>
  <c r="P205" i="24" s="1"/>
  <c r="N162" i="24"/>
  <c r="P162" i="24" s="1"/>
  <c r="N152" i="24"/>
  <c r="P152" i="24" s="1"/>
  <c r="N116" i="24"/>
  <c r="P116" i="24" s="1"/>
  <c r="N148" i="24"/>
  <c r="P148" i="24" s="1"/>
  <c r="N172" i="24"/>
  <c r="P172" i="24" s="1"/>
  <c r="N154" i="24"/>
  <c r="P154" i="24" s="1"/>
  <c r="N119" i="24"/>
  <c r="P119" i="24" s="1"/>
  <c r="N136" i="24"/>
  <c r="P136" i="24" s="1"/>
  <c r="N131" i="24"/>
  <c r="P131" i="24" s="1"/>
  <c r="N179" i="24"/>
  <c r="P179" i="24" s="1"/>
  <c r="N181" i="24"/>
  <c r="P181" i="24" s="1"/>
  <c r="N194" i="24"/>
  <c r="P194" i="24" s="1"/>
  <c r="N127" i="24"/>
  <c r="P127" i="24" s="1"/>
  <c r="N129" i="24"/>
  <c r="Q129" i="24" s="1"/>
  <c r="N195" i="24"/>
  <c r="N197" i="24"/>
  <c r="Q197" i="24" s="1"/>
  <c r="N135" i="24"/>
  <c r="N144" i="24"/>
  <c r="Q144" i="24" s="1"/>
  <c r="N157" i="24"/>
  <c r="P157" i="24" s="1"/>
  <c r="N122" i="24"/>
  <c r="P122" i="24" s="1"/>
  <c r="N183" i="24"/>
  <c r="P183" i="24" s="1"/>
  <c r="N145" i="24"/>
  <c r="P145" i="24" s="1"/>
  <c r="N188" i="24"/>
  <c r="P188" i="24" s="1"/>
  <c r="N149" i="24"/>
  <c r="P149" i="24" s="1"/>
  <c r="N196" i="24"/>
  <c r="P196" i="24" s="1"/>
  <c r="N137" i="24"/>
  <c r="P137" i="24" s="1"/>
  <c r="N201" i="24"/>
  <c r="P201" i="24" s="1"/>
  <c r="N159" i="24"/>
  <c r="P159" i="24" s="1"/>
  <c r="N155" i="24"/>
  <c r="P155" i="24" s="1"/>
  <c r="N161" i="24"/>
  <c r="P161" i="24" s="1"/>
  <c r="N167" i="24"/>
  <c r="P167" i="24" s="1"/>
  <c r="N208" i="24"/>
  <c r="P208" i="24" s="1"/>
  <c r="N142" i="24"/>
  <c r="P142" i="24" s="1"/>
  <c r="N123" i="24"/>
  <c r="P123" i="24" s="1"/>
  <c r="N166" i="24"/>
  <c r="P166" i="24" s="1"/>
  <c r="N189" i="24"/>
  <c r="P189" i="24" s="1"/>
  <c r="N178" i="24"/>
  <c r="P178" i="24" s="1"/>
  <c r="N168" i="24"/>
  <c r="Q168" i="24" s="1"/>
  <c r="N130" i="24"/>
  <c r="N193" i="24"/>
  <c r="Q193" i="24" s="1"/>
  <c r="N184" i="24"/>
  <c r="N147" i="24"/>
  <c r="Q147" i="24" s="1"/>
  <c r="N141" i="24"/>
  <c r="P141" i="24" s="1"/>
  <c r="N171" i="24"/>
  <c r="P171" i="24" s="1"/>
  <c r="N202" i="24"/>
  <c r="P202" i="24" s="1"/>
  <c r="N113" i="24"/>
  <c r="Q113" i="24" s="1"/>
  <c r="N160" i="24"/>
  <c r="N143" i="24"/>
  <c r="P143" i="24" s="1"/>
  <c r="N138" i="24"/>
  <c r="N140" i="24"/>
  <c r="Q140" i="24" s="1"/>
  <c r="N164" i="24"/>
  <c r="P164" i="24" s="1"/>
  <c r="N175" i="24"/>
  <c r="P175" i="24" s="1"/>
  <c r="N132" i="24"/>
  <c r="P132" i="24" s="1"/>
  <c r="N209" i="24"/>
  <c r="P209" i="24" s="1"/>
  <c r="N186" i="24"/>
  <c r="P186" i="24" s="1"/>
  <c r="N182" i="24"/>
  <c r="P182" i="24" s="1"/>
  <c r="N177" i="24"/>
  <c r="P177" i="24" s="1"/>
  <c r="N163" i="24"/>
  <c r="P163" i="24" s="1"/>
  <c r="N150" i="24"/>
  <c r="P150" i="24" s="1"/>
  <c r="N170" i="24"/>
  <c r="P170" i="24" s="1"/>
  <c r="N133" i="24"/>
  <c r="P133" i="24" s="1"/>
  <c r="N111" i="24"/>
  <c r="Q111" i="24" s="1"/>
  <c r="N185" i="24"/>
  <c r="N173" i="24"/>
  <c r="P173" i="24" s="1"/>
  <c r="N198" i="24"/>
  <c r="N153" i="24"/>
  <c r="Q153" i="24" s="1"/>
  <c r="N146" i="24"/>
  <c r="P146" i="24" s="1"/>
  <c r="N204" i="24"/>
  <c r="P204" i="24" s="1"/>
  <c r="N151" i="24"/>
  <c r="P151" i="24" s="1"/>
  <c r="N174" i="24"/>
  <c r="P174" i="24" s="1"/>
  <c r="N139" i="24"/>
  <c r="N190" i="24"/>
  <c r="P190" i="24" s="1"/>
  <c r="N118" i="24"/>
  <c r="Q118" i="24" s="1"/>
  <c r="N158" i="24"/>
  <c r="P158" i="24" s="1"/>
  <c r="N126" i="24"/>
  <c r="P126" i="24" s="1"/>
  <c r="N200" i="24"/>
  <c r="P200" i="24" s="1"/>
  <c r="N125" i="24"/>
  <c r="P125" i="24" s="1"/>
  <c r="N112" i="24"/>
  <c r="P112" i="24" s="1"/>
  <c r="N207" i="24"/>
  <c r="P207" i="24" s="1"/>
  <c r="N203" i="24"/>
  <c r="P203" i="24" s="1"/>
  <c r="N187" i="24"/>
  <c r="P187" i="24" s="1"/>
  <c r="N206" i="24"/>
  <c r="P206" i="24" s="1"/>
  <c r="N192" i="24"/>
  <c r="P192" i="24" s="1"/>
  <c r="N169" i="24"/>
  <c r="P169" i="24" s="1"/>
  <c r="N134" i="24"/>
  <c r="P134" i="24" s="1"/>
  <c r="N199" i="24"/>
  <c r="P199" i="24" s="1"/>
  <c r="N115" i="24"/>
  <c r="P115" i="24" s="1"/>
  <c r="N165" i="24"/>
  <c r="P165" i="24" s="1"/>
  <c r="N128" i="24"/>
  <c r="P128" i="24" s="1"/>
  <c r="Q310" i="24"/>
  <c r="Q284" i="24"/>
  <c r="Q244" i="24"/>
  <c r="S45" i="24"/>
  <c r="S21" i="24"/>
  <c r="T21" i="24" s="1"/>
  <c r="O21" i="24" s="1"/>
  <c r="S88" i="24"/>
  <c r="S56" i="24"/>
  <c r="T56" i="24" s="1"/>
  <c r="O56" i="24" s="1"/>
  <c r="S24" i="24"/>
  <c r="S61" i="24"/>
  <c r="S63" i="24"/>
  <c r="T63" i="24" s="1"/>
  <c r="O63" i="24" s="1"/>
  <c r="S31" i="24"/>
  <c r="T31" i="24" s="1"/>
  <c r="O31" i="24" s="1"/>
  <c r="S81" i="24"/>
  <c r="S86" i="24"/>
  <c r="T86" i="24" s="1"/>
  <c r="O86" i="24" s="1"/>
  <c r="S54" i="24"/>
  <c r="T54" i="24" s="1"/>
  <c r="O54" i="24" s="1"/>
  <c r="S22" i="24"/>
  <c r="BO113" i="24"/>
  <c r="BR113" i="24" s="1"/>
  <c r="BO163" i="24"/>
  <c r="BR163" i="24" s="1"/>
  <c r="BO174" i="24"/>
  <c r="BR174" i="24" s="1"/>
  <c r="BO183" i="24"/>
  <c r="BR183" i="24" s="1"/>
  <c r="BO197" i="24"/>
  <c r="BR197" i="24" s="1"/>
  <c r="BO137" i="24"/>
  <c r="BR137" i="24" s="1"/>
  <c r="BO135" i="24"/>
  <c r="BR135" i="24" s="1"/>
  <c r="BO194" i="24"/>
  <c r="BR194" i="24" s="1"/>
  <c r="BO189" i="24"/>
  <c r="BR189" i="24" s="1"/>
  <c r="BO122" i="24"/>
  <c r="BR122" i="24" s="1"/>
  <c r="BO188" i="24"/>
  <c r="BR188" i="24" s="1"/>
  <c r="BO172" i="24"/>
  <c r="BR172" i="24" s="1"/>
  <c r="CC129" i="25"/>
  <c r="BN129" i="25"/>
  <c r="BR129" i="25" s="1"/>
  <c r="BN145" i="25"/>
  <c r="BR145" i="25" s="1"/>
  <c r="CC145" i="25"/>
  <c r="BN161" i="25"/>
  <c r="BR161" i="25" s="1"/>
  <c r="CC161" i="25"/>
  <c r="BN177" i="25"/>
  <c r="BR177" i="25" s="1"/>
  <c r="CC177" i="25"/>
  <c r="CC193" i="25"/>
  <c r="BN193" i="25"/>
  <c r="BR193" i="25" s="1"/>
  <c r="BN150" i="25"/>
  <c r="BR150" i="25" s="1"/>
  <c r="CC150" i="25"/>
  <c r="BN182" i="25"/>
  <c r="BR182" i="25" s="1"/>
  <c r="CC182" i="25"/>
  <c r="BN131" i="25"/>
  <c r="BR131" i="25" s="1"/>
  <c r="CC131" i="25"/>
  <c r="BN163" i="25"/>
  <c r="BR163" i="25" s="1"/>
  <c r="CC163" i="25"/>
  <c r="CC195" i="25"/>
  <c r="BN195" i="25"/>
  <c r="BR195" i="25" s="1"/>
  <c r="S65" i="24"/>
  <c r="S17" i="24"/>
  <c r="S84" i="24"/>
  <c r="S52" i="24"/>
  <c r="S20" i="24"/>
  <c r="S37" i="24"/>
  <c r="S75" i="24"/>
  <c r="S43" i="24"/>
  <c r="S11" i="24"/>
  <c r="S69" i="24"/>
  <c r="T69" i="24" s="1"/>
  <c r="O69" i="24" s="1"/>
  <c r="S98" i="24"/>
  <c r="S66" i="24"/>
  <c r="S34" i="24"/>
  <c r="BO195" i="24"/>
  <c r="BR195" i="24" s="1"/>
  <c r="BO147" i="24"/>
  <c r="BR147" i="24" s="1"/>
  <c r="BO154" i="24"/>
  <c r="BR154" i="24" s="1"/>
  <c r="BO167" i="24"/>
  <c r="BR167" i="24" s="1"/>
  <c r="BO185" i="24"/>
  <c r="BR185" i="24" s="1"/>
  <c r="BO133" i="24"/>
  <c r="BR133" i="24" s="1"/>
  <c r="BO112" i="24"/>
  <c r="BR112" i="24" s="1"/>
  <c r="BO181" i="24"/>
  <c r="BR181" i="24" s="1"/>
  <c r="BO157" i="24"/>
  <c r="BR157" i="24" s="1"/>
  <c r="BO200" i="24"/>
  <c r="BR200" i="24" s="1"/>
  <c r="BO168" i="24"/>
  <c r="BR168" i="24" s="1"/>
  <c r="BN113" i="25"/>
  <c r="BR113" i="25" s="1"/>
  <c r="CC113" i="25"/>
  <c r="CC122" i="25"/>
  <c r="BN122" i="25"/>
  <c r="BR122" i="25" s="1"/>
  <c r="BN123" i="25"/>
  <c r="BR123" i="25" s="1"/>
  <c r="CC123" i="25"/>
  <c r="BN140" i="25"/>
  <c r="BR140" i="25" s="1"/>
  <c r="CC140" i="25"/>
  <c r="BN156" i="25"/>
  <c r="BR156" i="25" s="1"/>
  <c r="CC156" i="25"/>
  <c r="BN172" i="25"/>
  <c r="BR172" i="25" s="1"/>
  <c r="CC172" i="25"/>
  <c r="CC188" i="25"/>
  <c r="BN188" i="25"/>
  <c r="BR188" i="25" s="1"/>
  <c r="BN138" i="25"/>
  <c r="BR138" i="25" s="1"/>
  <c r="CC138" i="25"/>
  <c r="BN170" i="25"/>
  <c r="BR170" i="25" s="1"/>
  <c r="CC170" i="25"/>
  <c r="BN135" i="25"/>
  <c r="BR135" i="25" s="1"/>
  <c r="CC135" i="25"/>
  <c r="CC167" i="25"/>
  <c r="BN167" i="25"/>
  <c r="BR167" i="25" s="1"/>
  <c r="CC199" i="25"/>
  <c r="BN199" i="25"/>
  <c r="BR199" i="25" s="1"/>
  <c r="S97" i="24"/>
  <c r="T97" i="24" s="1"/>
  <c r="O97" i="24" s="1"/>
  <c r="S57" i="24"/>
  <c r="S29" i="24"/>
  <c r="T29" i="24" s="1"/>
  <c r="O29" i="24" s="1"/>
  <c r="S13" i="24"/>
  <c r="S96" i="24"/>
  <c r="T96" i="24" s="1"/>
  <c r="O96" i="24" s="1"/>
  <c r="S80" i="24"/>
  <c r="S64" i="24"/>
  <c r="T64" i="24" s="1"/>
  <c r="O64" i="24" s="1"/>
  <c r="S48" i="24"/>
  <c r="S32" i="24"/>
  <c r="T32" i="24" s="1"/>
  <c r="O32" i="24" s="1"/>
  <c r="S16" i="24"/>
  <c r="S89" i="24"/>
  <c r="T89" i="24" s="1"/>
  <c r="O89" i="24" s="1"/>
  <c r="S103" i="24"/>
  <c r="S87" i="24"/>
  <c r="T87" i="24" s="1"/>
  <c r="O87" i="24" s="1"/>
  <c r="S71" i="24"/>
  <c r="S55" i="24"/>
  <c r="T55" i="24" s="1"/>
  <c r="O55" i="24" s="1"/>
  <c r="S39" i="24"/>
  <c r="S23" i="24"/>
  <c r="T23" i="24" s="1"/>
  <c r="O23" i="24" s="1"/>
  <c r="S7" i="24"/>
  <c r="S53" i="24"/>
  <c r="T53" i="24" s="1"/>
  <c r="O53" i="24" s="1"/>
  <c r="S94" i="24"/>
  <c r="S78" i="24"/>
  <c r="T78" i="24" s="1"/>
  <c r="O78" i="24" s="1"/>
  <c r="S62" i="24"/>
  <c r="S46" i="24"/>
  <c r="T46" i="24" s="1"/>
  <c r="O46" i="24" s="1"/>
  <c r="S30" i="24"/>
  <c r="S14" i="24"/>
  <c r="T14" i="24" s="1"/>
  <c r="O14" i="24" s="1"/>
  <c r="BO199" i="24"/>
  <c r="BR199" i="24" s="1"/>
  <c r="BO121" i="24"/>
  <c r="BR121" i="24" s="1"/>
  <c r="BO191" i="24"/>
  <c r="BR191" i="24" s="1"/>
  <c r="BO131" i="24"/>
  <c r="BR131" i="24" s="1"/>
  <c r="BO111" i="24"/>
  <c r="BR111" i="24" s="1"/>
  <c r="BO182" i="24"/>
  <c r="BR182" i="24" s="1"/>
  <c r="BO166" i="24"/>
  <c r="BR166" i="24" s="1"/>
  <c r="BO150" i="24"/>
  <c r="BR150" i="24" s="1"/>
  <c r="BO134" i="24"/>
  <c r="BR134" i="24" s="1"/>
  <c r="BO155" i="24"/>
  <c r="BR155" i="24" s="1"/>
  <c r="BO123" i="24"/>
  <c r="BR123" i="24" s="1"/>
  <c r="BO173" i="24"/>
  <c r="BR173" i="24" s="1"/>
  <c r="BO145" i="24"/>
  <c r="BR145" i="24" s="1"/>
  <c r="BO151" i="24"/>
  <c r="BR151" i="24" s="1"/>
  <c r="BO210" i="24"/>
  <c r="BR210" i="24" s="1"/>
  <c r="BO127" i="24"/>
  <c r="BR127" i="24" s="1"/>
  <c r="BO201" i="24"/>
  <c r="BR201" i="24" s="1"/>
  <c r="BO177" i="24"/>
  <c r="BR177" i="24" s="1"/>
  <c r="BO130" i="24"/>
  <c r="BR130" i="24" s="1"/>
  <c r="BO114" i="24"/>
  <c r="BR114" i="24" s="1"/>
  <c r="BO196" i="24"/>
  <c r="BR196" i="24" s="1"/>
  <c r="BO180" i="24"/>
  <c r="BR180" i="24" s="1"/>
  <c r="BO164" i="24"/>
  <c r="BR164" i="24" s="1"/>
  <c r="BO148" i="24"/>
  <c r="BR148" i="24" s="1"/>
  <c r="BO132" i="24"/>
  <c r="BR132" i="24" s="1"/>
  <c r="BN116" i="25"/>
  <c r="BR116" i="25" s="1"/>
  <c r="CC116" i="25"/>
  <c r="CC117" i="25"/>
  <c r="BN117" i="25"/>
  <c r="BR117" i="25" s="1"/>
  <c r="BN126" i="25"/>
  <c r="BR126" i="25" s="1"/>
  <c r="CC126" i="25"/>
  <c r="BN111" i="25"/>
  <c r="BR111" i="25" s="1"/>
  <c r="CC111" i="25"/>
  <c r="CC127" i="25"/>
  <c r="BN127" i="25"/>
  <c r="BR127" i="25" s="1"/>
  <c r="BN133" i="25"/>
  <c r="BR133" i="25" s="1"/>
  <c r="CC133" i="25"/>
  <c r="CC141" i="25"/>
  <c r="BN141" i="25"/>
  <c r="BR141" i="25" s="1"/>
  <c r="CC149" i="25"/>
  <c r="BN149" i="25"/>
  <c r="BR149" i="25" s="1"/>
  <c r="CC157" i="25"/>
  <c r="BN157" i="25"/>
  <c r="BR157" i="25" s="1"/>
  <c r="CC165" i="25"/>
  <c r="BN165" i="25"/>
  <c r="BR165" i="25" s="1"/>
  <c r="CC173" i="25"/>
  <c r="BN173" i="25"/>
  <c r="BR173" i="25" s="1"/>
  <c r="CC181" i="25"/>
  <c r="BN181" i="25"/>
  <c r="BR181" i="25" s="1"/>
  <c r="CC189" i="25"/>
  <c r="BN189" i="25"/>
  <c r="BR189" i="25" s="1"/>
  <c r="CC197" i="25"/>
  <c r="BN197" i="25"/>
  <c r="BR197" i="25" s="1"/>
  <c r="BN142" i="25"/>
  <c r="BR142" i="25" s="1"/>
  <c r="CC142" i="25"/>
  <c r="BN158" i="25"/>
  <c r="BR158" i="25" s="1"/>
  <c r="CC158" i="25"/>
  <c r="BN174" i="25"/>
  <c r="BR174" i="25" s="1"/>
  <c r="CC174" i="25"/>
  <c r="BN190" i="25"/>
  <c r="BR190" i="25" s="1"/>
  <c r="CC190" i="25"/>
  <c r="CC139" i="25"/>
  <c r="BN139" i="25"/>
  <c r="BR139" i="25" s="1"/>
  <c r="BN155" i="25"/>
  <c r="BR155" i="25" s="1"/>
  <c r="CC155" i="25"/>
  <c r="CC171" i="25"/>
  <c r="BN171" i="25"/>
  <c r="BR171" i="25" s="1"/>
  <c r="BN187" i="25"/>
  <c r="BR187" i="25" s="1"/>
  <c r="CC187" i="25"/>
  <c r="CC201" i="25"/>
  <c r="BN201" i="25"/>
  <c r="BR201" i="25" s="1"/>
  <c r="CC209" i="25"/>
  <c r="BN209" i="25"/>
  <c r="BR209" i="25" s="1"/>
  <c r="CC203" i="25"/>
  <c r="BN203" i="25"/>
  <c r="BR203" i="25" s="1"/>
  <c r="CC208" i="25"/>
  <c r="BN208" i="25"/>
  <c r="BR208" i="25" s="1"/>
  <c r="S77" i="24"/>
  <c r="S104" i="24"/>
  <c r="T104" i="24" s="1"/>
  <c r="O104" i="24" s="1"/>
  <c r="S72" i="24"/>
  <c r="T72" i="24" s="1"/>
  <c r="O72" i="24" s="1"/>
  <c r="S40" i="24"/>
  <c r="T40" i="24" s="1"/>
  <c r="O40" i="24" s="1"/>
  <c r="S8" i="24"/>
  <c r="S95" i="24"/>
  <c r="T95" i="24" s="1"/>
  <c r="O95" i="24" s="1"/>
  <c r="S79" i="24"/>
  <c r="T79" i="24" s="1"/>
  <c r="O79" i="24" s="1"/>
  <c r="S47" i="24"/>
  <c r="S15" i="24"/>
  <c r="S102" i="24"/>
  <c r="S70" i="24"/>
  <c r="T70" i="24" s="1"/>
  <c r="O70" i="24" s="1"/>
  <c r="S38" i="24"/>
  <c r="S6" i="24"/>
  <c r="BO187" i="24"/>
  <c r="BR187" i="24" s="1"/>
  <c r="BO125" i="24"/>
  <c r="BR125" i="24" s="1"/>
  <c r="BO202" i="24"/>
  <c r="BR202" i="24" s="1"/>
  <c r="BO158" i="24"/>
  <c r="BR158" i="24" s="1"/>
  <c r="BO142" i="24"/>
  <c r="BR142" i="24" s="1"/>
  <c r="BO198" i="24"/>
  <c r="BR198" i="24" s="1"/>
  <c r="BO153" i="24"/>
  <c r="BR153" i="24" s="1"/>
  <c r="BO171" i="24"/>
  <c r="BR171" i="24" s="1"/>
  <c r="BO128" i="24"/>
  <c r="BR128" i="24" s="1"/>
  <c r="BO115" i="24"/>
  <c r="BR115" i="24" s="1"/>
  <c r="BO161" i="24"/>
  <c r="BR161" i="24" s="1"/>
  <c r="BO204" i="24"/>
  <c r="BR204" i="24" s="1"/>
  <c r="BO156" i="24"/>
  <c r="BR156" i="24" s="1"/>
  <c r="BO140" i="24"/>
  <c r="BR140" i="24" s="1"/>
  <c r="BN121" i="25"/>
  <c r="BR121" i="25" s="1"/>
  <c r="CC121" i="25"/>
  <c r="BN124" i="25"/>
  <c r="BR124" i="25" s="1"/>
  <c r="CC124" i="25"/>
  <c r="BN118" i="25"/>
  <c r="BR118" i="25" s="1"/>
  <c r="CC118" i="25"/>
  <c r="CC119" i="25"/>
  <c r="BN119" i="25"/>
  <c r="BR119" i="25" s="1"/>
  <c r="CC137" i="25"/>
  <c r="BN137" i="25"/>
  <c r="BR137" i="25" s="1"/>
  <c r="BN153" i="25"/>
  <c r="BR153" i="25" s="1"/>
  <c r="CC153" i="25"/>
  <c r="BN169" i="25"/>
  <c r="BR169" i="25" s="1"/>
  <c r="CC169" i="25"/>
  <c r="BN185" i="25"/>
  <c r="BR185" i="25" s="1"/>
  <c r="CC185" i="25"/>
  <c r="CC134" i="25"/>
  <c r="BN134" i="25"/>
  <c r="BR134" i="25" s="1"/>
  <c r="BN166" i="25"/>
  <c r="BR166" i="25" s="1"/>
  <c r="CC166" i="25"/>
  <c r="CC198" i="25"/>
  <c r="BN198" i="25"/>
  <c r="BR198" i="25" s="1"/>
  <c r="BN147" i="25"/>
  <c r="BR147" i="25" s="1"/>
  <c r="CC147" i="25"/>
  <c r="BN179" i="25"/>
  <c r="BR179" i="25" s="1"/>
  <c r="CC179" i="25"/>
  <c r="CC205" i="25"/>
  <c r="BN205" i="25"/>
  <c r="BR205" i="25" s="1"/>
  <c r="CC200" i="25"/>
  <c r="BN200" i="25"/>
  <c r="BR200" i="25" s="1"/>
  <c r="S105" i="24"/>
  <c r="T105" i="24" s="1"/>
  <c r="O105" i="24" s="1"/>
  <c r="S33" i="24"/>
  <c r="T33" i="24" s="1"/>
  <c r="O33" i="24" s="1"/>
  <c r="S100" i="24"/>
  <c r="T100" i="24" s="1"/>
  <c r="O100" i="24" s="1"/>
  <c r="S68" i="24"/>
  <c r="T68" i="24" s="1"/>
  <c r="O68" i="24" s="1"/>
  <c r="S36" i="24"/>
  <c r="T36" i="24" s="1"/>
  <c r="O36" i="24" s="1"/>
  <c r="S101" i="24"/>
  <c r="T101" i="24" s="1"/>
  <c r="O101" i="24" s="1"/>
  <c r="S91" i="24"/>
  <c r="T91" i="24" s="1"/>
  <c r="O91" i="24" s="1"/>
  <c r="S59" i="24"/>
  <c r="T59" i="24" s="1"/>
  <c r="O59" i="24" s="1"/>
  <c r="S27" i="24"/>
  <c r="T27" i="24" s="1"/>
  <c r="O27" i="24" s="1"/>
  <c r="S82" i="24"/>
  <c r="T82" i="24" s="1"/>
  <c r="O82" i="24" s="1"/>
  <c r="S50" i="24"/>
  <c r="T50" i="24" s="1"/>
  <c r="O50" i="24" s="1"/>
  <c r="S18" i="24"/>
  <c r="T18" i="24" s="1"/>
  <c r="O18" i="24" s="1"/>
  <c r="BO117" i="24"/>
  <c r="BR117" i="24" s="1"/>
  <c r="BO207" i="24"/>
  <c r="BR207" i="24" s="1"/>
  <c r="BO186" i="24"/>
  <c r="BR186" i="24" s="1"/>
  <c r="BO170" i="24"/>
  <c r="BR170" i="24" s="1"/>
  <c r="BO138" i="24"/>
  <c r="BR138" i="24" s="1"/>
  <c r="BO190" i="24"/>
  <c r="BR190" i="24" s="1"/>
  <c r="BO149" i="24"/>
  <c r="BR149" i="24" s="1"/>
  <c r="BO159" i="24"/>
  <c r="BR159" i="24" s="1"/>
  <c r="BO124" i="24"/>
  <c r="BR124" i="24" s="1"/>
  <c r="BO205" i="24"/>
  <c r="BR205" i="24" s="1"/>
  <c r="BO118" i="24"/>
  <c r="BR118" i="24" s="1"/>
  <c r="BO152" i="24"/>
  <c r="BR152" i="24" s="1"/>
  <c r="BO136" i="24"/>
  <c r="BR136" i="24" s="1"/>
  <c r="CC112" i="25"/>
  <c r="BN112" i="25"/>
  <c r="BR112" i="25" s="1"/>
  <c r="CC132" i="25"/>
  <c r="BN132" i="25"/>
  <c r="BR132" i="25" s="1"/>
  <c r="BN148" i="25"/>
  <c r="BR148" i="25" s="1"/>
  <c r="CC148" i="25"/>
  <c r="BN164" i="25"/>
  <c r="BR164" i="25" s="1"/>
  <c r="CC164" i="25"/>
  <c r="BN180" i="25"/>
  <c r="BR180" i="25" s="1"/>
  <c r="CC180" i="25"/>
  <c r="CC196" i="25"/>
  <c r="BN196" i="25"/>
  <c r="BR196" i="25" s="1"/>
  <c r="CC154" i="25"/>
  <c r="BN154" i="25"/>
  <c r="BR154" i="25" s="1"/>
  <c r="CC186" i="25"/>
  <c r="BN186" i="25"/>
  <c r="BR186" i="25" s="1"/>
  <c r="BN151" i="25"/>
  <c r="BR151" i="25" s="1"/>
  <c r="CC151" i="25"/>
  <c r="BN183" i="25"/>
  <c r="BR183" i="25" s="1"/>
  <c r="CC183" i="25"/>
  <c r="CC206" i="25"/>
  <c r="BN206" i="25"/>
  <c r="BR206" i="25" s="1"/>
  <c r="CC204" i="25"/>
  <c r="BN204" i="25"/>
  <c r="BR204" i="25" s="1"/>
  <c r="S85" i="24"/>
  <c r="T85" i="24" s="1"/>
  <c r="O85" i="24" s="1"/>
  <c r="S49" i="24"/>
  <c r="S25" i="24"/>
  <c r="T25" i="24" s="1"/>
  <c r="O25" i="24" s="1"/>
  <c r="S9" i="24"/>
  <c r="S92" i="24"/>
  <c r="T92" i="24" s="1"/>
  <c r="O92" i="24" s="1"/>
  <c r="S76" i="24"/>
  <c r="S60" i="24"/>
  <c r="T60" i="24" s="1"/>
  <c r="O60" i="24" s="1"/>
  <c r="S44" i="24"/>
  <c r="S28" i="24"/>
  <c r="T28" i="24" s="1"/>
  <c r="O28" i="24" s="1"/>
  <c r="S12" i="24"/>
  <c r="S73" i="24"/>
  <c r="T73" i="24" s="1"/>
  <c r="O73" i="24" s="1"/>
  <c r="S99" i="24"/>
  <c r="S83" i="24"/>
  <c r="T83" i="24" s="1"/>
  <c r="O83" i="24" s="1"/>
  <c r="S67" i="24"/>
  <c r="S51" i="24"/>
  <c r="T51" i="24" s="1"/>
  <c r="O51" i="24" s="1"/>
  <c r="S35" i="24"/>
  <c r="S19" i="24"/>
  <c r="T19" i="24" s="1"/>
  <c r="O19" i="24" s="1"/>
  <c r="S93" i="24"/>
  <c r="S41" i="24"/>
  <c r="T41" i="24" s="1"/>
  <c r="O41" i="24" s="1"/>
  <c r="S90" i="24"/>
  <c r="S74" i="24"/>
  <c r="T74" i="24" s="1"/>
  <c r="O74" i="24" s="1"/>
  <c r="S58" i="24"/>
  <c r="S42" i="24"/>
  <c r="T42" i="24" s="1"/>
  <c r="O42" i="24" s="1"/>
  <c r="S26" i="24"/>
  <c r="S10" i="24"/>
  <c r="T10" i="24" s="1"/>
  <c r="O10" i="24" s="1"/>
  <c r="BO203" i="24"/>
  <c r="BR203" i="24" s="1"/>
  <c r="BO129" i="24"/>
  <c r="BR129" i="24" s="1"/>
  <c r="BO179" i="24"/>
  <c r="BR179" i="24" s="1"/>
  <c r="BO120" i="24"/>
  <c r="BR120" i="24" s="1"/>
  <c r="BO178" i="24"/>
  <c r="BR178" i="24" s="1"/>
  <c r="BO162" i="24"/>
  <c r="BR162" i="24" s="1"/>
  <c r="BO146" i="24"/>
  <c r="BR146" i="24" s="1"/>
  <c r="BO139" i="24"/>
  <c r="BR139" i="24" s="1"/>
  <c r="BO116" i="24"/>
  <c r="BR116" i="24" s="1"/>
  <c r="BO209" i="24"/>
  <c r="BR209" i="24" s="1"/>
  <c r="BO165" i="24"/>
  <c r="BR165" i="24" s="1"/>
  <c r="BO175" i="24"/>
  <c r="BR175" i="24" s="1"/>
  <c r="BO143" i="24"/>
  <c r="BR143" i="24" s="1"/>
  <c r="BO206" i="24"/>
  <c r="BR206" i="24" s="1"/>
  <c r="BO119" i="24"/>
  <c r="BR119" i="24" s="1"/>
  <c r="BO193" i="24"/>
  <c r="BR193" i="24" s="1"/>
  <c r="BO169" i="24"/>
  <c r="BR169" i="24" s="1"/>
  <c r="BO126" i="24"/>
  <c r="BR126" i="24" s="1"/>
  <c r="BO208" i="24"/>
  <c r="BR208" i="24" s="1"/>
  <c r="BO192" i="24"/>
  <c r="BR192" i="24" s="1"/>
  <c r="BO176" i="24"/>
  <c r="BR176" i="24" s="1"/>
  <c r="BO160" i="24"/>
  <c r="BR160" i="24" s="1"/>
  <c r="BO144" i="24"/>
  <c r="BR144" i="24" s="1"/>
  <c r="BN120" i="25"/>
  <c r="BR120" i="25" s="1"/>
  <c r="CC120" i="25"/>
  <c r="CC125" i="25"/>
  <c r="BN125" i="25"/>
  <c r="BR125" i="25" s="1"/>
  <c r="CC114" i="25"/>
  <c r="BN114" i="25"/>
  <c r="BR114" i="25" s="1"/>
  <c r="CC115" i="25"/>
  <c r="BN115" i="25"/>
  <c r="BR115" i="25" s="1"/>
  <c r="BN128" i="25"/>
  <c r="BR128" i="25" s="1"/>
  <c r="CC128" i="25"/>
  <c r="BN136" i="25"/>
  <c r="BR136" i="25" s="1"/>
  <c r="CC136" i="25"/>
  <c r="BN144" i="25"/>
  <c r="BR144" i="25" s="1"/>
  <c r="CC144" i="25"/>
  <c r="CC152" i="25"/>
  <c r="BN152" i="25"/>
  <c r="BR152" i="25" s="1"/>
  <c r="CC160" i="25"/>
  <c r="BN160" i="25"/>
  <c r="BR160" i="25" s="1"/>
  <c r="BN168" i="25"/>
  <c r="BR168" i="25" s="1"/>
  <c r="CC168" i="25"/>
  <c r="CC176" i="25"/>
  <c r="BN176" i="25"/>
  <c r="BR176" i="25" s="1"/>
  <c r="CC184" i="25"/>
  <c r="BN184" i="25"/>
  <c r="BR184" i="25" s="1"/>
  <c r="CC192" i="25"/>
  <c r="BN192" i="25"/>
  <c r="BR192" i="25" s="1"/>
  <c r="BN130" i="25"/>
  <c r="BR130" i="25" s="1"/>
  <c r="CC130" i="25"/>
  <c r="CC146" i="25"/>
  <c r="BN146" i="25"/>
  <c r="BR146" i="25" s="1"/>
  <c r="CC162" i="25"/>
  <c r="BN162" i="25"/>
  <c r="BR162" i="25" s="1"/>
  <c r="CC178" i="25"/>
  <c r="BN178" i="25"/>
  <c r="BR178" i="25" s="1"/>
  <c r="CC194" i="25"/>
  <c r="BN194" i="25"/>
  <c r="BR194" i="25" s="1"/>
  <c r="CC143" i="25"/>
  <c r="BN143" i="25"/>
  <c r="BR143" i="25" s="1"/>
  <c r="BN159" i="25"/>
  <c r="BR159" i="25" s="1"/>
  <c r="CC159" i="25"/>
  <c r="CC175" i="25"/>
  <c r="BN175" i="25"/>
  <c r="BR175" i="25" s="1"/>
  <c r="BN191" i="25"/>
  <c r="BR191" i="25" s="1"/>
  <c r="CC191" i="25"/>
  <c r="CC202" i="25"/>
  <c r="BN202" i="25"/>
  <c r="BR202" i="25" s="1"/>
  <c r="CC210" i="25"/>
  <c r="BN210" i="25"/>
  <c r="BR210" i="25" s="1"/>
  <c r="BN207" i="25"/>
  <c r="BR207" i="25" s="1"/>
  <c r="CC207" i="25"/>
  <c r="U110" i="24"/>
  <c r="V110" i="24" s="1"/>
  <c r="N110" i="24"/>
  <c r="N210" i="24"/>
  <c r="P210" i="24" s="1"/>
  <c r="N213" i="24"/>
  <c r="S141" i="24"/>
  <c r="T141" i="24" s="1"/>
  <c r="BO141" i="24"/>
  <c r="BR141" i="24" s="1"/>
  <c r="S184" i="24"/>
  <c r="T184" i="24" s="1"/>
  <c r="BO184" i="24"/>
  <c r="BR184" i="24" s="1"/>
  <c r="Q227" i="24"/>
  <c r="Q291" i="24"/>
  <c r="Q234" i="24"/>
  <c r="Q283" i="24"/>
  <c r="Q278" i="24"/>
  <c r="Q293" i="24"/>
  <c r="Q255" i="24"/>
  <c r="Q285" i="24"/>
  <c r="Q231" i="24"/>
  <c r="Q258" i="24"/>
  <c r="Q249" i="24"/>
  <c r="Q223" i="24"/>
  <c r="Q313" i="24"/>
  <c r="O217" i="24"/>
  <c r="J217" i="24"/>
  <c r="J110" i="24"/>
  <c r="O110" i="24"/>
  <c r="BY110" i="24" s="1"/>
  <c r="S121" i="24"/>
  <c r="T121" i="24" s="1"/>
  <c r="J121" i="24" s="1"/>
  <c r="S263" i="24"/>
  <c r="T263" i="24" s="1"/>
  <c r="O263" i="24" s="1"/>
  <c r="S150" i="24"/>
  <c r="T150" i="24" s="1"/>
  <c r="S306" i="24"/>
  <c r="T306" i="24" s="1"/>
  <c r="O306" i="24" s="1"/>
  <c r="S258" i="24"/>
  <c r="T258" i="24" s="1"/>
  <c r="O258" i="24" s="1"/>
  <c r="S155" i="24"/>
  <c r="T155" i="24" s="1"/>
  <c r="S231" i="24"/>
  <c r="T231" i="24" s="1"/>
  <c r="J231" i="24" s="1"/>
  <c r="S145" i="24"/>
  <c r="T145" i="24" s="1"/>
  <c r="S285" i="24"/>
  <c r="T285" i="24" s="1"/>
  <c r="O285" i="24" s="1"/>
  <c r="S237" i="24"/>
  <c r="T237" i="24" s="1"/>
  <c r="J237" i="24" s="1"/>
  <c r="S315" i="24"/>
  <c r="T315" i="24" s="1"/>
  <c r="J315" i="24" s="1"/>
  <c r="S210" i="24"/>
  <c r="T210" i="24" s="1"/>
  <c r="S130" i="24"/>
  <c r="T130" i="24" s="1"/>
  <c r="O130" i="24" s="1"/>
  <c r="S180" i="24"/>
  <c r="T180" i="24" s="1"/>
  <c r="J180" i="24" s="1"/>
  <c r="AI180" i="24" s="1"/>
  <c r="S132" i="24"/>
  <c r="T132" i="24" s="1"/>
  <c r="O132" i="24" s="1"/>
  <c r="S272" i="24"/>
  <c r="T272" i="24" s="1"/>
  <c r="J272" i="24" s="1"/>
  <c r="S224" i="24"/>
  <c r="T224" i="24" s="1"/>
  <c r="J224" i="24" s="1"/>
  <c r="Q187" i="24"/>
  <c r="S187" i="24"/>
  <c r="T187" i="24" s="1"/>
  <c r="S113" i="24"/>
  <c r="T113" i="24" s="1"/>
  <c r="O113" i="24" s="1"/>
  <c r="S125" i="24"/>
  <c r="T125" i="24" s="1"/>
  <c r="S163" i="24"/>
  <c r="T163" i="24" s="1"/>
  <c r="S295" i="24"/>
  <c r="T295" i="24" s="1"/>
  <c r="J295" i="24" s="1"/>
  <c r="S243" i="24"/>
  <c r="T243" i="24" s="1"/>
  <c r="O243" i="24" s="1"/>
  <c r="S202" i="24"/>
  <c r="T202" i="24" s="1"/>
  <c r="J202" i="24" s="1"/>
  <c r="AI202" i="24" s="1"/>
  <c r="S174" i="24"/>
  <c r="T174" i="24" s="1"/>
  <c r="O174" i="24" s="1"/>
  <c r="S158" i="24"/>
  <c r="T158" i="24" s="1"/>
  <c r="O158" i="24" s="1"/>
  <c r="S142" i="24"/>
  <c r="T142" i="24" s="1"/>
  <c r="S314" i="24"/>
  <c r="T314" i="24" s="1"/>
  <c r="O314" i="24" s="1"/>
  <c r="S298" i="24"/>
  <c r="T298" i="24" s="1"/>
  <c r="J298" i="24" s="1"/>
  <c r="S282" i="24"/>
  <c r="T282" i="24" s="1"/>
  <c r="O282" i="24" s="1"/>
  <c r="S266" i="24"/>
  <c r="T266" i="24" s="1"/>
  <c r="O266" i="24" s="1"/>
  <c r="S250" i="24"/>
  <c r="T250" i="24" s="1"/>
  <c r="O250" i="24" s="1"/>
  <c r="S234" i="24"/>
  <c r="T234" i="24" s="1"/>
  <c r="J234" i="24" s="1"/>
  <c r="S183" i="24"/>
  <c r="T183" i="24" s="1"/>
  <c r="S307" i="24"/>
  <c r="T307" i="24" s="1"/>
  <c r="O307" i="24" s="1"/>
  <c r="S255" i="24"/>
  <c r="T255" i="24" s="1"/>
  <c r="J255" i="24" s="1"/>
  <c r="S198" i="24"/>
  <c r="T198" i="24" s="1"/>
  <c r="O198" i="24" s="1"/>
  <c r="S197" i="24"/>
  <c r="T197" i="24" s="1"/>
  <c r="J197" i="24" s="1"/>
  <c r="S153" i="24"/>
  <c r="T153" i="24" s="1"/>
  <c r="O153" i="24" s="1"/>
  <c r="S137" i="24"/>
  <c r="T137" i="24" s="1"/>
  <c r="S309" i="24"/>
  <c r="T309" i="24" s="1"/>
  <c r="O309" i="24" s="1"/>
  <c r="S293" i="24"/>
  <c r="T293" i="24" s="1"/>
  <c r="J293" i="24" s="1"/>
  <c r="S277" i="24"/>
  <c r="T277" i="24" s="1"/>
  <c r="O277" i="24" s="1"/>
  <c r="S261" i="24"/>
  <c r="T261" i="24" s="1"/>
  <c r="O261" i="24" s="1"/>
  <c r="S245" i="24"/>
  <c r="T245" i="24" s="1"/>
  <c r="O245" i="24" s="1"/>
  <c r="S229" i="24"/>
  <c r="T229" i="24" s="1"/>
  <c r="J229" i="24" s="1"/>
  <c r="S171" i="24"/>
  <c r="T171" i="24" s="1"/>
  <c r="O171" i="24" s="1"/>
  <c r="S135" i="24"/>
  <c r="T135" i="24" s="1"/>
  <c r="J135" i="24" s="1"/>
  <c r="AI135" i="24" s="1"/>
  <c r="S299" i="24"/>
  <c r="T299" i="24" s="1"/>
  <c r="O299" i="24" s="1"/>
  <c r="S259" i="24"/>
  <c r="T259" i="24" s="1"/>
  <c r="J259" i="24" s="1"/>
  <c r="S128" i="24"/>
  <c r="T128" i="24" s="1"/>
  <c r="S194" i="24"/>
  <c r="T194" i="24" s="1"/>
  <c r="S115" i="24"/>
  <c r="T115" i="24" s="1"/>
  <c r="S189" i="24"/>
  <c r="T189" i="24" s="1"/>
  <c r="O189" i="24" s="1"/>
  <c r="S161" i="24"/>
  <c r="T161" i="24" s="1"/>
  <c r="S122" i="24"/>
  <c r="T122" i="24" s="1"/>
  <c r="S204" i="24"/>
  <c r="T204" i="24" s="1"/>
  <c r="O204" i="24" s="1"/>
  <c r="Q188" i="24"/>
  <c r="S188" i="24"/>
  <c r="T188" i="24" s="1"/>
  <c r="S172" i="24"/>
  <c r="T172" i="24" s="1"/>
  <c r="S156" i="24"/>
  <c r="T156" i="24" s="1"/>
  <c r="O156" i="24" s="1"/>
  <c r="S140" i="24"/>
  <c r="T140" i="24" s="1"/>
  <c r="J140" i="24" s="1"/>
  <c r="AI140" i="24" s="1"/>
  <c r="S312" i="24"/>
  <c r="T312" i="24" s="1"/>
  <c r="O312" i="24" s="1"/>
  <c r="S296" i="24"/>
  <c r="T296" i="24" s="1"/>
  <c r="O296" i="24" s="1"/>
  <c r="S280" i="24"/>
  <c r="T280" i="24" s="1"/>
  <c r="J280" i="24" s="1"/>
  <c r="S264" i="24"/>
  <c r="T264" i="24" s="1"/>
  <c r="O264" i="24" s="1"/>
  <c r="S248" i="24"/>
  <c r="T248" i="24" s="1"/>
  <c r="J248" i="24" s="1"/>
  <c r="S232" i="24"/>
  <c r="T232" i="24" s="1"/>
  <c r="O232" i="24" s="1"/>
  <c r="S199" i="24"/>
  <c r="T199" i="24" s="1"/>
  <c r="S131" i="24"/>
  <c r="T131" i="24" s="1"/>
  <c r="S182" i="24"/>
  <c r="T182" i="24" s="1"/>
  <c r="S290" i="24"/>
  <c r="T290" i="24" s="1"/>
  <c r="O290" i="24" s="1"/>
  <c r="S226" i="24"/>
  <c r="T226" i="24" s="1"/>
  <c r="O226" i="24" s="1"/>
  <c r="S123" i="24"/>
  <c r="T123" i="24" s="1"/>
  <c r="S317" i="24"/>
  <c r="T317" i="24" s="1"/>
  <c r="J317" i="24" s="1"/>
  <c r="S253" i="24"/>
  <c r="T253" i="24" s="1"/>
  <c r="O253" i="24" s="1"/>
  <c r="S151" i="24"/>
  <c r="T151" i="24" s="1"/>
  <c r="O151" i="24" s="1"/>
  <c r="S235" i="24"/>
  <c r="T235" i="24" s="1"/>
  <c r="J235" i="24" s="1"/>
  <c r="S201" i="24"/>
  <c r="T201" i="24" s="1"/>
  <c r="S114" i="24"/>
  <c r="T114" i="24" s="1"/>
  <c r="O114" i="24" s="1"/>
  <c r="S164" i="24"/>
  <c r="T164" i="24" s="1"/>
  <c r="J164" i="24" s="1"/>
  <c r="AI164" i="24" s="1"/>
  <c r="S304" i="24"/>
  <c r="T304" i="24" s="1"/>
  <c r="J304" i="24" s="1"/>
  <c r="S256" i="24"/>
  <c r="T256" i="24" s="1"/>
  <c r="O256" i="24" s="1"/>
  <c r="S117" i="24"/>
  <c r="T117" i="24" s="1"/>
  <c r="O117" i="24" s="1"/>
  <c r="S195" i="24"/>
  <c r="T195" i="24" s="1"/>
  <c r="O195" i="24" s="1"/>
  <c r="S207" i="24"/>
  <c r="T207" i="24" s="1"/>
  <c r="S147" i="24"/>
  <c r="T147" i="24" s="1"/>
  <c r="O147" i="24" s="1"/>
  <c r="S283" i="24"/>
  <c r="T283" i="24" s="1"/>
  <c r="O283" i="24" s="1"/>
  <c r="S227" i="24"/>
  <c r="T227" i="24" s="1"/>
  <c r="O227" i="24" s="1"/>
  <c r="S186" i="24"/>
  <c r="T186" i="24" s="1"/>
  <c r="S170" i="24"/>
  <c r="T170" i="24" s="1"/>
  <c r="S154" i="24"/>
  <c r="T154" i="24" s="1"/>
  <c r="S138" i="24"/>
  <c r="T138" i="24" s="1"/>
  <c r="J138" i="24" s="1"/>
  <c r="AI138" i="24" s="1"/>
  <c r="S310" i="24"/>
  <c r="T310" i="24" s="1"/>
  <c r="J310" i="24" s="1"/>
  <c r="S294" i="24"/>
  <c r="T294" i="24" s="1"/>
  <c r="J294" i="24" s="1"/>
  <c r="S278" i="24"/>
  <c r="T278" i="24" s="1"/>
  <c r="O278" i="24" s="1"/>
  <c r="S262" i="24"/>
  <c r="T262" i="24" s="1"/>
  <c r="O262" i="24" s="1"/>
  <c r="S246" i="24"/>
  <c r="T246" i="24" s="1"/>
  <c r="J246" i="24" s="1"/>
  <c r="S230" i="24"/>
  <c r="T230" i="24" s="1"/>
  <c r="J230" i="24" s="1"/>
  <c r="Q167" i="24"/>
  <c r="S167" i="24"/>
  <c r="T167" i="24" s="1"/>
  <c r="S291" i="24"/>
  <c r="T291" i="24" s="1"/>
  <c r="O291" i="24" s="1"/>
  <c r="S239" i="24"/>
  <c r="T239" i="24" s="1"/>
  <c r="O239" i="24" s="1"/>
  <c r="S190" i="24"/>
  <c r="T190" i="24" s="1"/>
  <c r="O190" i="24" s="1"/>
  <c r="S185" i="24"/>
  <c r="T185" i="24" s="1"/>
  <c r="O185" i="24" s="1"/>
  <c r="S149" i="24"/>
  <c r="T149" i="24" s="1"/>
  <c r="S133" i="24"/>
  <c r="T133" i="24" s="1"/>
  <c r="O133" i="24" s="1"/>
  <c r="S305" i="24"/>
  <c r="T305" i="24" s="1"/>
  <c r="J305" i="24" s="1"/>
  <c r="S289" i="24"/>
  <c r="T289" i="24" s="1"/>
  <c r="J289" i="24" s="1"/>
  <c r="S273" i="24"/>
  <c r="T273" i="24" s="1"/>
  <c r="J273" i="24" s="1"/>
  <c r="S257" i="24"/>
  <c r="T257" i="24" s="1"/>
  <c r="J257" i="24" s="1"/>
  <c r="S241" i="24"/>
  <c r="T241" i="24" s="1"/>
  <c r="J241" i="24" s="1"/>
  <c r="S225" i="24"/>
  <c r="T225" i="24" s="1"/>
  <c r="J225" i="24" s="1"/>
  <c r="S159" i="24"/>
  <c r="T159" i="24" s="1"/>
  <c r="S218" i="24"/>
  <c r="T218" i="24" s="1"/>
  <c r="O218" i="24" s="1"/>
  <c r="S287" i="24"/>
  <c r="T287" i="24" s="1"/>
  <c r="J287" i="24" s="1"/>
  <c r="S247" i="24"/>
  <c r="T247" i="24" s="1"/>
  <c r="O247" i="24" s="1"/>
  <c r="S124" i="24"/>
  <c r="T124" i="24" s="1"/>
  <c r="J124" i="24" s="1"/>
  <c r="AI124" i="24" s="1"/>
  <c r="S112" i="24"/>
  <c r="T112" i="24" s="1"/>
  <c r="S205" i="24"/>
  <c r="T205" i="24" s="1"/>
  <c r="S181" i="24"/>
  <c r="T181" i="24" s="1"/>
  <c r="Q157" i="24"/>
  <c r="S157" i="24"/>
  <c r="T157" i="24" s="1"/>
  <c r="S118" i="24"/>
  <c r="T118" i="24" s="1"/>
  <c r="J118" i="24" s="1"/>
  <c r="AI118" i="24" s="1"/>
  <c r="S200" i="24"/>
  <c r="T200" i="24" s="1"/>
  <c r="J200" i="24" s="1"/>
  <c r="AI200" i="24" s="1"/>
  <c r="S168" i="24"/>
  <c r="T168" i="24" s="1"/>
  <c r="O168" i="24" s="1"/>
  <c r="S152" i="24"/>
  <c r="T152" i="24" s="1"/>
  <c r="S136" i="24"/>
  <c r="T136" i="24" s="1"/>
  <c r="S308" i="24"/>
  <c r="T308" i="24" s="1"/>
  <c r="J308" i="24" s="1"/>
  <c r="S292" i="24"/>
  <c r="T292" i="24" s="1"/>
  <c r="O292" i="24" s="1"/>
  <c r="S276" i="24"/>
  <c r="T276" i="24" s="1"/>
  <c r="J276" i="24" s="1"/>
  <c r="S260" i="24"/>
  <c r="T260" i="24" s="1"/>
  <c r="J260" i="24" s="1"/>
  <c r="S244" i="24"/>
  <c r="T244" i="24" s="1"/>
  <c r="J244" i="24" s="1"/>
  <c r="S228" i="24"/>
  <c r="T228" i="24" s="1"/>
  <c r="J228" i="24" s="1"/>
  <c r="S191" i="24"/>
  <c r="T191" i="24" s="1"/>
  <c r="O191" i="24" s="1"/>
  <c r="S111" i="24"/>
  <c r="T111" i="24" s="1"/>
  <c r="J111" i="24" s="1"/>
  <c r="S166" i="24"/>
  <c r="T166" i="24" s="1"/>
  <c r="O166" i="24" s="1"/>
  <c r="S134" i="24"/>
  <c r="T134" i="24" s="1"/>
  <c r="S274" i="24"/>
  <c r="T274" i="24" s="1"/>
  <c r="J274" i="24" s="1"/>
  <c r="S242" i="24"/>
  <c r="T242" i="24" s="1"/>
  <c r="J242" i="24" s="1"/>
  <c r="S279" i="24"/>
  <c r="T279" i="24" s="1"/>
  <c r="O279" i="24" s="1"/>
  <c r="S173" i="24"/>
  <c r="T173" i="24" s="1"/>
  <c r="J173" i="24" s="1"/>
  <c r="AI173" i="24" s="1"/>
  <c r="S301" i="24"/>
  <c r="T301" i="24" s="1"/>
  <c r="J301" i="24" s="1"/>
  <c r="S269" i="24"/>
  <c r="T269" i="24" s="1"/>
  <c r="J269" i="24" s="1"/>
  <c r="S221" i="24"/>
  <c r="T221" i="24" s="1"/>
  <c r="J221" i="24" s="1"/>
  <c r="S275" i="24"/>
  <c r="T275" i="24" s="1"/>
  <c r="J275" i="24" s="1"/>
  <c r="S127" i="24"/>
  <c r="T127" i="24" s="1"/>
  <c r="J127" i="24" s="1"/>
  <c r="S177" i="24"/>
  <c r="T177" i="24" s="1"/>
  <c r="S196" i="24"/>
  <c r="T196" i="24" s="1"/>
  <c r="S148" i="24"/>
  <c r="T148" i="24" s="1"/>
  <c r="S288" i="24"/>
  <c r="T288" i="24" s="1"/>
  <c r="J288" i="24" s="1"/>
  <c r="S240" i="24"/>
  <c r="T240" i="24" s="1"/>
  <c r="J240" i="24" s="1"/>
  <c r="S203" i="24"/>
  <c r="T203" i="24" s="1"/>
  <c r="S129" i="24"/>
  <c r="T129" i="24" s="1"/>
  <c r="J129" i="24" s="1"/>
  <c r="AI129" i="24" s="1"/>
  <c r="S179" i="24"/>
  <c r="T179" i="24" s="1"/>
  <c r="S311" i="24"/>
  <c r="T311" i="24" s="1"/>
  <c r="J311" i="24" s="1"/>
  <c r="S251" i="24"/>
  <c r="T251" i="24" s="1"/>
  <c r="J251" i="24" s="1"/>
  <c r="S120" i="24"/>
  <c r="T120" i="24" s="1"/>
  <c r="O120" i="24" s="1"/>
  <c r="S178" i="24"/>
  <c r="T178" i="24" s="1"/>
  <c r="J178" i="24" s="1"/>
  <c r="AI178" i="24" s="1"/>
  <c r="S162" i="24"/>
  <c r="T162" i="24" s="1"/>
  <c r="S146" i="24"/>
  <c r="T146" i="24" s="1"/>
  <c r="O146" i="24" s="1"/>
  <c r="S219" i="24"/>
  <c r="T219" i="24" s="1"/>
  <c r="J219" i="24" s="1"/>
  <c r="S302" i="24"/>
  <c r="T302" i="24" s="1"/>
  <c r="J302" i="24" s="1"/>
  <c r="S286" i="24"/>
  <c r="T286" i="24" s="1"/>
  <c r="J286" i="24" s="1"/>
  <c r="S270" i="24"/>
  <c r="T270" i="24" s="1"/>
  <c r="O270" i="24" s="1"/>
  <c r="S254" i="24"/>
  <c r="T254" i="24" s="1"/>
  <c r="O254" i="24" s="1"/>
  <c r="S238" i="24"/>
  <c r="T238" i="24" s="1"/>
  <c r="O238" i="24" s="1"/>
  <c r="S222" i="24"/>
  <c r="T222" i="24" s="1"/>
  <c r="J222" i="24" s="1"/>
  <c r="S139" i="24"/>
  <c r="T139" i="24" s="1"/>
  <c r="O139" i="24" s="1"/>
  <c r="S267" i="24"/>
  <c r="T267" i="24" s="1"/>
  <c r="J267" i="24" s="1"/>
  <c r="S116" i="24"/>
  <c r="T116" i="24" s="1"/>
  <c r="S209" i="24"/>
  <c r="T209" i="24" s="1"/>
  <c r="O209" i="24" s="1"/>
  <c r="S165" i="24"/>
  <c r="T165" i="24" s="1"/>
  <c r="S313" i="24"/>
  <c r="T313" i="24" s="1"/>
  <c r="O313" i="24" s="1"/>
  <c r="S297" i="24"/>
  <c r="T297" i="24" s="1"/>
  <c r="O297" i="24" s="1"/>
  <c r="S281" i="24"/>
  <c r="T281" i="24" s="1"/>
  <c r="O281" i="24" s="1"/>
  <c r="S265" i="24"/>
  <c r="T265" i="24" s="1"/>
  <c r="J265" i="24" s="1"/>
  <c r="S249" i="24"/>
  <c r="T249" i="24" s="1"/>
  <c r="O249" i="24" s="1"/>
  <c r="S233" i="24"/>
  <c r="T233" i="24" s="1"/>
  <c r="O233" i="24" s="1"/>
  <c r="S175" i="24"/>
  <c r="T175" i="24" s="1"/>
  <c r="J175" i="24" s="1"/>
  <c r="AI175" i="24" s="1"/>
  <c r="S143" i="24"/>
  <c r="T143" i="24" s="1"/>
  <c r="O143" i="24" s="1"/>
  <c r="S303" i="24"/>
  <c r="T303" i="24" s="1"/>
  <c r="J303" i="24" s="1"/>
  <c r="S271" i="24"/>
  <c r="T271" i="24" s="1"/>
  <c r="O271" i="24" s="1"/>
  <c r="S223" i="24"/>
  <c r="T223" i="24" s="1"/>
  <c r="J223" i="24" s="1"/>
  <c r="S206" i="24"/>
  <c r="T206" i="24" s="1"/>
  <c r="Q119" i="24"/>
  <c r="S119" i="24"/>
  <c r="T119" i="24" s="1"/>
  <c r="S193" i="24"/>
  <c r="T193" i="24" s="1"/>
  <c r="O193" i="24" s="1"/>
  <c r="S169" i="24"/>
  <c r="T169" i="24" s="1"/>
  <c r="S126" i="24"/>
  <c r="T126" i="24" s="1"/>
  <c r="J126" i="24" s="1"/>
  <c r="AI126" i="24" s="1"/>
  <c r="S208" i="24"/>
  <c r="T208" i="24" s="1"/>
  <c r="S192" i="24"/>
  <c r="T192" i="24" s="1"/>
  <c r="S176" i="24"/>
  <c r="T176" i="24" s="1"/>
  <c r="O176" i="24" s="1"/>
  <c r="S160" i="24"/>
  <c r="T160" i="24" s="1"/>
  <c r="J160" i="24" s="1"/>
  <c r="AI160" i="24" s="1"/>
  <c r="S144" i="24"/>
  <c r="T144" i="24" s="1"/>
  <c r="O144" i="24" s="1"/>
  <c r="S316" i="24"/>
  <c r="T316" i="24" s="1"/>
  <c r="J316" i="24" s="1"/>
  <c r="S300" i="24"/>
  <c r="T300" i="24" s="1"/>
  <c r="O300" i="24" s="1"/>
  <c r="S284" i="24"/>
  <c r="T284" i="24" s="1"/>
  <c r="O284" i="24" s="1"/>
  <c r="S268" i="24"/>
  <c r="T268" i="24" s="1"/>
  <c r="O268" i="24" s="1"/>
  <c r="S252" i="24"/>
  <c r="T252" i="24" s="1"/>
  <c r="J252" i="24" s="1"/>
  <c r="S236" i="24"/>
  <c r="T236" i="24" s="1"/>
  <c r="J236" i="24" s="1"/>
  <c r="S220" i="24"/>
  <c r="T220" i="24" s="1"/>
  <c r="J220" i="24" s="1"/>
  <c r="CD8" i="24"/>
  <c r="Q286" i="24"/>
  <c r="Q300" i="24"/>
  <c r="Q265" i="24"/>
  <c r="CD17" i="24"/>
  <c r="Q238" i="24"/>
  <c r="Q270" i="24"/>
  <c r="Q252" i="24"/>
  <c r="Q220" i="24"/>
  <c r="Q297" i="24"/>
  <c r="Q303" i="24"/>
  <c r="Q222" i="24"/>
  <c r="Q254" i="24"/>
  <c r="Q267" i="24"/>
  <c r="Q268" i="24"/>
  <c r="Q233" i="24"/>
  <c r="Q271" i="24"/>
  <c r="Q316" i="24"/>
  <c r="Q304" i="24"/>
  <c r="Q317" i="24"/>
  <c r="Q279" i="24"/>
  <c r="Q242" i="24"/>
  <c r="Q240" i="24"/>
  <c r="Q224" i="24"/>
  <c r="Q288" i="24"/>
  <c r="Q253" i="24"/>
  <c r="Q263" i="24"/>
  <c r="Q315" i="24"/>
  <c r="Q272" i="24"/>
  <c r="Q237" i="24"/>
  <c r="Q302" i="24"/>
  <c r="Q251" i="24"/>
  <c r="Q281" i="24"/>
  <c r="Q219" i="24"/>
  <c r="Q307" i="24"/>
  <c r="Q296" i="24"/>
  <c r="Q250" i="24"/>
  <c r="Q314" i="24"/>
  <c r="Q261" i="24"/>
  <c r="Q282" i="24"/>
  <c r="Q243" i="24"/>
  <c r="Q221" i="24"/>
  <c r="Q309" i="24"/>
  <c r="Q274" i="24"/>
  <c r="Q306" i="24"/>
  <c r="Q235" i="24"/>
  <c r="Q299" i="24"/>
  <c r="Q269" i="24"/>
  <c r="Q245" i="24"/>
  <c r="Q298" i="24"/>
  <c r="Q259" i="24"/>
  <c r="Q312" i="24"/>
  <c r="Q295" i="24"/>
  <c r="Q232" i="24"/>
  <c r="Q248" i="24"/>
  <c r="Q277" i="24"/>
  <c r="P124" i="24"/>
  <c r="Q124" i="24"/>
  <c r="Q218" i="24"/>
  <c r="Q276" i="24"/>
  <c r="Q241" i="24"/>
  <c r="Q305" i="24"/>
  <c r="Q246" i="24"/>
  <c r="Q239" i="24"/>
  <c r="P160" i="24"/>
  <c r="Q160" i="24"/>
  <c r="P138" i="24"/>
  <c r="Q138" i="24"/>
  <c r="Q164" i="24"/>
  <c r="P191" i="24"/>
  <c r="Q191" i="24"/>
  <c r="Q151" i="24"/>
  <c r="Q180" i="24"/>
  <c r="Q247" i="24"/>
  <c r="Q225" i="24"/>
  <c r="Q294" i="24"/>
  <c r="Q287" i="24"/>
  <c r="P185" i="24"/>
  <c r="Q185" i="24"/>
  <c r="P198" i="24"/>
  <c r="Q198" i="24"/>
  <c r="Q202" i="24"/>
  <c r="P184" i="24"/>
  <c r="Q184" i="24"/>
  <c r="P130" i="24"/>
  <c r="Q130" i="24"/>
  <c r="Q228" i="24"/>
  <c r="Q260" i="24"/>
  <c r="Q289" i="24"/>
  <c r="Q308" i="24"/>
  <c r="Q230" i="24"/>
  <c r="Q262" i="24"/>
  <c r="P195" i="24"/>
  <c r="Q195" i="24"/>
  <c r="P139" i="24"/>
  <c r="Q139" i="24"/>
  <c r="P118" i="24"/>
  <c r="P135" i="24"/>
  <c r="Q135" i="24"/>
  <c r="U203" i="24"/>
  <c r="U179" i="24"/>
  <c r="U162" i="24"/>
  <c r="U116" i="24"/>
  <c r="U165" i="24"/>
  <c r="U141" i="24"/>
  <c r="U206" i="24"/>
  <c r="V206" i="24" s="1"/>
  <c r="U119" i="24"/>
  <c r="V119" i="24" s="1"/>
  <c r="U169" i="24"/>
  <c r="U208" i="24"/>
  <c r="U192" i="24"/>
  <c r="U187" i="24"/>
  <c r="U125" i="24"/>
  <c r="U163" i="24"/>
  <c r="U142" i="24"/>
  <c r="V142" i="24" s="1"/>
  <c r="U183" i="24"/>
  <c r="U137" i="24"/>
  <c r="V137" i="24" s="1"/>
  <c r="U128" i="24"/>
  <c r="U194" i="24"/>
  <c r="U115" i="24"/>
  <c r="U161" i="24"/>
  <c r="V161" i="24" s="1"/>
  <c r="U122" i="24"/>
  <c r="V122" i="24" s="1"/>
  <c r="U188" i="24"/>
  <c r="V188" i="24" s="1"/>
  <c r="U172" i="24"/>
  <c r="U207" i="24"/>
  <c r="U186" i="24"/>
  <c r="U170" i="24"/>
  <c r="V170" i="24" s="1"/>
  <c r="U154" i="24"/>
  <c r="U167" i="24"/>
  <c r="U149" i="24"/>
  <c r="V149" i="24" s="1"/>
  <c r="U159" i="24"/>
  <c r="U112" i="24"/>
  <c r="U205" i="24"/>
  <c r="U181" i="24"/>
  <c r="V181" i="24" s="1"/>
  <c r="U157" i="24"/>
  <c r="V157" i="24" s="1"/>
  <c r="U184" i="24"/>
  <c r="V184" i="24" s="1"/>
  <c r="U152" i="24"/>
  <c r="U136" i="24"/>
  <c r="V136" i="24" s="1"/>
  <c r="U199" i="24"/>
  <c r="U131" i="24"/>
  <c r="U182" i="24"/>
  <c r="V182" i="24" s="1"/>
  <c r="U150" i="24"/>
  <c r="V150" i="24" s="1"/>
  <c r="U134" i="24"/>
  <c r="V134" i="24" s="1"/>
  <c r="U155" i="24"/>
  <c r="V155" i="24" s="1"/>
  <c r="U123" i="24"/>
  <c r="U145" i="24"/>
  <c r="V145" i="24" s="1"/>
  <c r="U210" i="24"/>
  <c r="U201" i="24"/>
  <c r="U177" i="24"/>
  <c r="V177" i="24" s="1"/>
  <c r="U196" i="24"/>
  <c r="V196" i="24" s="1"/>
  <c r="U148" i="24"/>
  <c r="V148" i="24" s="1"/>
  <c r="T117" i="25"/>
  <c r="T126" i="25"/>
  <c r="T127" i="25"/>
  <c r="T133" i="25"/>
  <c r="T141" i="25"/>
  <c r="T149" i="25"/>
  <c r="T157" i="25"/>
  <c r="T165" i="25"/>
  <c r="T173" i="25"/>
  <c r="T181" i="25"/>
  <c r="T189" i="25"/>
  <c r="T197" i="25"/>
  <c r="T142" i="25"/>
  <c r="T158" i="25"/>
  <c r="T190" i="25"/>
  <c r="T280" i="25"/>
  <c r="T139" i="25"/>
  <c r="T155" i="25"/>
  <c r="T171" i="25"/>
  <c r="T187" i="25"/>
  <c r="T209" i="25"/>
  <c r="T203" i="25"/>
  <c r="T260" i="25"/>
  <c r="T208" i="25"/>
  <c r="T247" i="25"/>
  <c r="T318" i="25"/>
  <c r="T283" i="25"/>
  <c r="T290" i="25"/>
  <c r="T308" i="25"/>
  <c r="T125" i="25"/>
  <c r="T128" i="25"/>
  <c r="T176" i="25"/>
  <c r="T146" i="25"/>
  <c r="T262" i="25"/>
  <c r="T273" i="25"/>
  <c r="T312" i="25"/>
  <c r="T121" i="25"/>
  <c r="T124" i="25"/>
  <c r="T118" i="25"/>
  <c r="T275" i="25"/>
  <c r="T145" i="25"/>
  <c r="T169" i="25"/>
  <c r="T177" i="25"/>
  <c r="T150" i="25"/>
  <c r="T198" i="25"/>
  <c r="T231" i="25"/>
  <c r="T131" i="25"/>
  <c r="T147" i="25"/>
  <c r="T163" i="25"/>
  <c r="T195" i="25"/>
  <c r="T205" i="25"/>
  <c r="T236" i="25"/>
  <c r="T268" i="25"/>
  <c r="T200" i="25"/>
  <c r="T282" i="25"/>
  <c r="T277" i="25"/>
  <c r="T316" i="25"/>
  <c r="T152" i="25"/>
  <c r="T184" i="25"/>
  <c r="T162" i="25"/>
  <c r="T202" i="25"/>
  <c r="T207" i="25"/>
  <c r="T294" i="25"/>
  <c r="T113" i="25"/>
  <c r="T122" i="25"/>
  <c r="T279" i="25"/>
  <c r="T132" i="25"/>
  <c r="T148" i="25"/>
  <c r="T156" i="25"/>
  <c r="T172" i="25"/>
  <c r="T180" i="25"/>
  <c r="T188" i="25"/>
  <c r="T138" i="25"/>
  <c r="T170" i="25"/>
  <c r="T258" i="25"/>
  <c r="T151" i="25"/>
  <c r="T183" i="25"/>
  <c r="T204" i="25"/>
  <c r="T311" i="25"/>
  <c r="T281" i="25"/>
  <c r="T120" i="25"/>
  <c r="T114" i="25"/>
  <c r="T168" i="25"/>
  <c r="T192" i="25"/>
  <c r="U204" i="24"/>
  <c r="V204" i="24" s="1"/>
  <c r="U120" i="24"/>
  <c r="V120" i="24" s="1"/>
  <c r="U209" i="24"/>
  <c r="V209" i="24" s="1"/>
  <c r="U175" i="24"/>
  <c r="U113" i="24"/>
  <c r="U202" i="24"/>
  <c r="V202" i="24" s="1"/>
  <c r="U198" i="24"/>
  <c r="U153" i="24"/>
  <c r="V153" i="24" s="1"/>
  <c r="U176" i="24"/>
  <c r="T111" i="25"/>
  <c r="T123" i="25"/>
  <c r="T140" i="25"/>
  <c r="T167" i="25"/>
  <c r="T206" i="25"/>
  <c r="T276" i="25"/>
  <c r="T136" i="25"/>
  <c r="T144" i="25"/>
  <c r="U191" i="24"/>
  <c r="U166" i="24"/>
  <c r="V166" i="24" s="1"/>
  <c r="U173" i="24"/>
  <c r="U127" i="24"/>
  <c r="V127" i="24" s="1"/>
  <c r="U114" i="24"/>
  <c r="V114" i="24" s="1"/>
  <c r="U132" i="24"/>
  <c r="T112" i="25"/>
  <c r="T196" i="25"/>
  <c r="T186" i="25"/>
  <c r="T135" i="25"/>
  <c r="T199" i="25"/>
  <c r="T143" i="25"/>
  <c r="T210" i="25"/>
  <c r="U117" i="24"/>
  <c r="V117" i="24" s="1"/>
  <c r="U185" i="24"/>
  <c r="T129" i="25"/>
  <c r="T153" i="25"/>
  <c r="T166" i="25"/>
  <c r="T179" i="25"/>
  <c r="T224" i="25"/>
  <c r="T232" i="25"/>
  <c r="T219" i="25"/>
  <c r="T234" i="25"/>
  <c r="T242" i="25"/>
  <c r="T266" i="25"/>
  <c r="T226" i="25"/>
  <c r="T310" i="25"/>
  <c r="T240" i="25"/>
  <c r="T259" i="25"/>
  <c r="T296" i="25"/>
  <c r="T286" i="25"/>
  <c r="T302" i="25"/>
  <c r="T306" i="25"/>
  <c r="T227" i="25"/>
  <c r="T254" i="25"/>
  <c r="T248" i="25"/>
  <c r="T301" i="25"/>
  <c r="T278" i="25"/>
  <c r="T229" i="25"/>
  <c r="T272" i="25"/>
  <c r="T222" i="25"/>
  <c r="T300" i="25"/>
  <c r="T252" i="25"/>
  <c r="T288" i="25"/>
  <c r="T291" i="25"/>
  <c r="T313" i="25"/>
  <c r="T297" i="25"/>
  <c r="T245" i="25"/>
  <c r="T253" i="25"/>
  <c r="T230" i="25"/>
  <c r="T307" i="25"/>
  <c r="T221" i="25"/>
  <c r="T241" i="25"/>
  <c r="T265" i="25"/>
  <c r="T255" i="25"/>
  <c r="T305" i="25"/>
  <c r="U129" i="24"/>
  <c r="V129" i="24" s="1"/>
  <c r="U146" i="24"/>
  <c r="V146" i="24" s="1"/>
  <c r="U190" i="24"/>
  <c r="V190" i="24" s="1"/>
  <c r="U251" i="24"/>
  <c r="V251" i="24" s="1"/>
  <c r="U219" i="24"/>
  <c r="U302" i="24"/>
  <c r="V302" i="24" s="1"/>
  <c r="U286" i="24"/>
  <c r="V286" i="24" s="1"/>
  <c r="U270" i="24"/>
  <c r="V270" i="24" s="1"/>
  <c r="U254" i="24"/>
  <c r="V254" i="24" s="1"/>
  <c r="U238" i="24"/>
  <c r="U222" i="24"/>
  <c r="V222" i="24" s="1"/>
  <c r="U267" i="24"/>
  <c r="V267" i="24" s="1"/>
  <c r="U297" i="24"/>
  <c r="U281" i="24"/>
  <c r="V281" i="24" s="1"/>
  <c r="U265" i="24"/>
  <c r="U233" i="24"/>
  <c r="U143" i="24"/>
  <c r="U303" i="24"/>
  <c r="U271" i="24"/>
  <c r="U126" i="24"/>
  <c r="U144" i="24"/>
  <c r="V144" i="24" s="1"/>
  <c r="U316" i="24"/>
  <c r="V316" i="24" s="1"/>
  <c r="U300" i="24"/>
  <c r="U268" i="24"/>
  <c r="U252" i="24"/>
  <c r="V252" i="24" s="1"/>
  <c r="U220" i="24"/>
  <c r="V220" i="24" s="1"/>
  <c r="T164" i="25"/>
  <c r="T154" i="25"/>
  <c r="T250" i="25"/>
  <c r="T256" i="25"/>
  <c r="T285" i="25"/>
  <c r="T243" i="25"/>
  <c r="T295" i="25"/>
  <c r="T317" i="25"/>
  <c r="U158" i="24"/>
  <c r="U197" i="24"/>
  <c r="U135" i="24"/>
  <c r="V135" i="24" s="1"/>
  <c r="U189" i="24"/>
  <c r="T233" i="25"/>
  <c r="T292" i="25"/>
  <c r="T223" i="25"/>
  <c r="T244" i="25"/>
  <c r="T263" i="25"/>
  <c r="T274" i="25"/>
  <c r="T299" i="25"/>
  <c r="U147" i="24"/>
  <c r="U138" i="24"/>
  <c r="V138" i="24" s="1"/>
  <c r="U118" i="24"/>
  <c r="V118" i="24" s="1"/>
  <c r="U200" i="24"/>
  <c r="T238" i="25"/>
  <c r="T270" i="25"/>
  <c r="T284" i="25"/>
  <c r="T264" i="25"/>
  <c r="T235" i="25"/>
  <c r="T251" i="25"/>
  <c r="T267" i="25"/>
  <c r="T287" i="25"/>
  <c r="T314" i="25"/>
  <c r="T309" i="25"/>
  <c r="T304" i="25"/>
  <c r="N217" i="24"/>
  <c r="Q217" i="24" s="1"/>
  <c r="U217" i="24"/>
  <c r="V217" i="24" s="1"/>
  <c r="U313" i="24"/>
  <c r="U236" i="24"/>
  <c r="J77" i="23"/>
  <c r="L77" i="23" s="1"/>
  <c r="U295" i="24"/>
  <c r="U243" i="24"/>
  <c r="V243" i="24" s="1"/>
  <c r="U174" i="24"/>
  <c r="V174" i="24" s="1"/>
  <c r="U314" i="24"/>
  <c r="V314" i="24" s="1"/>
  <c r="U298" i="24"/>
  <c r="V298" i="24" s="1"/>
  <c r="U282" i="24"/>
  <c r="V282" i="24" s="1"/>
  <c r="U266" i="24"/>
  <c r="V266" i="24" s="1"/>
  <c r="U250" i="24"/>
  <c r="V250" i="24" s="1"/>
  <c r="U234" i="24"/>
  <c r="V234" i="24" s="1"/>
  <c r="U307" i="24"/>
  <c r="U255" i="24"/>
  <c r="U309" i="24"/>
  <c r="U293" i="24"/>
  <c r="V293" i="24" s="1"/>
  <c r="U277" i="24"/>
  <c r="U261" i="24"/>
  <c r="V261" i="24" s="1"/>
  <c r="U245" i="24"/>
  <c r="U229" i="24"/>
  <c r="V229" i="24" s="1"/>
  <c r="U171" i="24"/>
  <c r="V171" i="24" s="1"/>
  <c r="U299" i="24"/>
  <c r="V299" i="24" s="1"/>
  <c r="U259" i="24"/>
  <c r="V259" i="24" s="1"/>
  <c r="U156" i="24"/>
  <c r="U140" i="24"/>
  <c r="U312" i="24"/>
  <c r="V312" i="24" s="1"/>
  <c r="U296" i="24"/>
  <c r="V296" i="24" s="1"/>
  <c r="U280" i="24"/>
  <c r="U264" i="24"/>
  <c r="V264" i="24" s="1"/>
  <c r="U248" i="24"/>
  <c r="U232" i="24"/>
  <c r="T225" i="25"/>
  <c r="T237" i="25"/>
  <c r="T261" i="25"/>
  <c r="T269" i="25"/>
  <c r="T293" i="25"/>
  <c r="T303" i="25"/>
  <c r="O218" i="25"/>
  <c r="S218" i="25" s="1"/>
  <c r="K218" i="25" s="1"/>
  <c r="T218" i="25"/>
  <c r="U218" i="25" s="1"/>
  <c r="U284" i="24"/>
  <c r="V284" i="24" s="1"/>
  <c r="U283" i="24"/>
  <c r="V283" i="24" s="1"/>
  <c r="U227" i="24"/>
  <c r="V227" i="24" s="1"/>
  <c r="U310" i="24"/>
  <c r="U294" i="24"/>
  <c r="V294" i="24" s="1"/>
  <c r="U278" i="24"/>
  <c r="V278" i="24" s="1"/>
  <c r="U262" i="24"/>
  <c r="U246" i="24"/>
  <c r="U230" i="24"/>
  <c r="V230" i="24" s="1"/>
  <c r="U291" i="24"/>
  <c r="V291" i="24" s="1"/>
  <c r="U239" i="24"/>
  <c r="V239" i="24" s="1"/>
  <c r="U133" i="24"/>
  <c r="U305" i="24"/>
  <c r="U289" i="24"/>
  <c r="V289" i="24" s="1"/>
  <c r="U273" i="24"/>
  <c r="V273" i="24" s="1"/>
  <c r="U257" i="24"/>
  <c r="U241" i="24"/>
  <c r="V241" i="24" s="1"/>
  <c r="U225" i="24"/>
  <c r="V225" i="24" s="1"/>
  <c r="U218" i="24"/>
  <c r="V218" i="24" s="1"/>
  <c r="U287" i="24"/>
  <c r="U247" i="24"/>
  <c r="U308" i="24"/>
  <c r="V308" i="24" s="1"/>
  <c r="U292" i="24"/>
  <c r="V292" i="24" s="1"/>
  <c r="U276" i="24"/>
  <c r="V276" i="24" s="1"/>
  <c r="U260" i="24"/>
  <c r="V260" i="24" s="1"/>
  <c r="U244" i="24"/>
  <c r="U228" i="24"/>
  <c r="T220" i="25"/>
  <c r="T228" i="25"/>
  <c r="T271" i="25"/>
  <c r="T115" i="25"/>
  <c r="T194" i="25"/>
  <c r="T246" i="25"/>
  <c r="T289" i="25"/>
  <c r="T175" i="25"/>
  <c r="T191" i="25"/>
  <c r="U311" i="24"/>
  <c r="U249" i="24"/>
  <c r="V249" i="24" s="1"/>
  <c r="U223" i="24"/>
  <c r="U263" i="24"/>
  <c r="U111" i="24"/>
  <c r="U306" i="24"/>
  <c r="V306" i="24" s="1"/>
  <c r="U290" i="24"/>
  <c r="V290" i="24" s="1"/>
  <c r="U274" i="24"/>
  <c r="V274" i="24" s="1"/>
  <c r="U258" i="24"/>
  <c r="V258" i="24" s="1"/>
  <c r="U242" i="24"/>
  <c r="V242" i="24" s="1"/>
  <c r="U226" i="24"/>
  <c r="V226" i="24" s="1"/>
  <c r="U279" i="24"/>
  <c r="V279" i="24" s="1"/>
  <c r="U231" i="24"/>
  <c r="V231" i="24" s="1"/>
  <c r="U317" i="24"/>
  <c r="U301" i="24"/>
  <c r="U285" i="24"/>
  <c r="U269" i="24"/>
  <c r="V269" i="24" s="1"/>
  <c r="U253" i="24"/>
  <c r="V253" i="24" s="1"/>
  <c r="U237" i="24"/>
  <c r="V237" i="24" s="1"/>
  <c r="U221" i="24"/>
  <c r="V221" i="24" s="1"/>
  <c r="U315" i="24"/>
  <c r="U275" i="24"/>
  <c r="U235" i="24"/>
  <c r="V235" i="24" s="1"/>
  <c r="U304" i="24"/>
  <c r="V304" i="24" s="1"/>
  <c r="U288" i="24"/>
  <c r="V288" i="24" s="1"/>
  <c r="U272" i="24"/>
  <c r="V272" i="24" s="1"/>
  <c r="U256" i="24"/>
  <c r="U240" i="24"/>
  <c r="V240" i="24" s="1"/>
  <c r="U224" i="24"/>
  <c r="T119" i="25"/>
  <c r="T137" i="25"/>
  <c r="T193" i="25"/>
  <c r="T134" i="25"/>
  <c r="T249" i="25"/>
  <c r="T257" i="25"/>
  <c r="T239" i="25"/>
  <c r="T315" i="25"/>
  <c r="T298" i="25"/>
  <c r="BO65" i="24"/>
  <c r="BR65" i="24" s="1"/>
  <c r="U65" i="24"/>
  <c r="V65" i="24" s="1"/>
  <c r="BO17" i="24"/>
  <c r="BR17" i="24" s="1"/>
  <c r="U17" i="24"/>
  <c r="V17" i="24" s="1"/>
  <c r="BO68" i="24"/>
  <c r="BR68" i="24" s="1"/>
  <c r="U68" i="24"/>
  <c r="BO20" i="24"/>
  <c r="BR20" i="24" s="1"/>
  <c r="U20" i="24"/>
  <c r="BO91" i="24"/>
  <c r="BR91" i="24" s="1"/>
  <c r="U91" i="24"/>
  <c r="BO43" i="24"/>
  <c r="BR43" i="24" s="1"/>
  <c r="U43" i="24"/>
  <c r="BO69" i="24"/>
  <c r="BR69" i="24" s="1"/>
  <c r="U69" i="24"/>
  <c r="V69" i="24" s="1"/>
  <c r="BO66" i="24"/>
  <c r="BR66" i="24" s="1"/>
  <c r="U66" i="24"/>
  <c r="BO50" i="24"/>
  <c r="BR50" i="24" s="1"/>
  <c r="U50" i="24"/>
  <c r="BO18" i="24"/>
  <c r="BR18" i="24" s="1"/>
  <c r="U18" i="24"/>
  <c r="BO97" i="24"/>
  <c r="BR97" i="24" s="1"/>
  <c r="U97" i="24"/>
  <c r="V97" i="24" s="1"/>
  <c r="BO57" i="24"/>
  <c r="BR57" i="24" s="1"/>
  <c r="U57" i="24"/>
  <c r="BO29" i="24"/>
  <c r="BR29" i="24" s="1"/>
  <c r="U29" i="24"/>
  <c r="BO13" i="24"/>
  <c r="BR13" i="24" s="1"/>
  <c r="U13" i="24"/>
  <c r="BO96" i="24"/>
  <c r="BR96" i="24" s="1"/>
  <c r="U96" i="24"/>
  <c r="BO80" i="24"/>
  <c r="BR80" i="24" s="1"/>
  <c r="U80" i="24"/>
  <c r="V80" i="24" s="1"/>
  <c r="BO64" i="24"/>
  <c r="BR64" i="24" s="1"/>
  <c r="U64" i="24"/>
  <c r="BO48" i="24"/>
  <c r="BR48" i="24" s="1"/>
  <c r="U48" i="24"/>
  <c r="BO32" i="24"/>
  <c r="BR32" i="24" s="1"/>
  <c r="U32" i="24"/>
  <c r="V32" i="24" s="1"/>
  <c r="BO16" i="24"/>
  <c r="BR16" i="24" s="1"/>
  <c r="U16" i="24"/>
  <c r="BO89" i="24"/>
  <c r="BR89" i="24" s="1"/>
  <c r="U89" i="24"/>
  <c r="V89" i="24" s="1"/>
  <c r="BO103" i="24"/>
  <c r="BR103" i="24" s="1"/>
  <c r="U103" i="24"/>
  <c r="BO87" i="24"/>
  <c r="BR87" i="24" s="1"/>
  <c r="U87" i="24"/>
  <c r="BO71" i="24"/>
  <c r="BR71" i="24" s="1"/>
  <c r="U71" i="24"/>
  <c r="BO55" i="24"/>
  <c r="BR55" i="24" s="1"/>
  <c r="U55" i="24"/>
  <c r="V55" i="24" s="1"/>
  <c r="BO39" i="24"/>
  <c r="BR39" i="24" s="1"/>
  <c r="U39" i="24"/>
  <c r="BO23" i="24"/>
  <c r="BR23" i="24" s="1"/>
  <c r="U23" i="24"/>
  <c r="BO7" i="24"/>
  <c r="BR7" i="24" s="1"/>
  <c r="U7" i="24"/>
  <c r="BO53" i="24"/>
  <c r="BR53" i="24" s="1"/>
  <c r="U53" i="24"/>
  <c r="BO94" i="24"/>
  <c r="BR94" i="24" s="1"/>
  <c r="U94" i="24"/>
  <c r="BO78" i="24"/>
  <c r="BR78" i="24" s="1"/>
  <c r="U78" i="24"/>
  <c r="BO62" i="24"/>
  <c r="BR62" i="24" s="1"/>
  <c r="U62" i="24"/>
  <c r="BO46" i="24"/>
  <c r="BR46" i="24" s="1"/>
  <c r="U46" i="24"/>
  <c r="BO30" i="24"/>
  <c r="BR30" i="24" s="1"/>
  <c r="U30" i="24"/>
  <c r="BO14" i="24"/>
  <c r="BR14" i="24" s="1"/>
  <c r="U14" i="24"/>
  <c r="BO105" i="24"/>
  <c r="BR105" i="24" s="1"/>
  <c r="U105" i="24"/>
  <c r="L18" i="1" s="1"/>
  <c r="BO100" i="24"/>
  <c r="BR100" i="24" s="1"/>
  <c r="U100" i="24"/>
  <c r="BO52" i="24"/>
  <c r="BR52" i="24" s="1"/>
  <c r="U52" i="24"/>
  <c r="BO101" i="24"/>
  <c r="BR101" i="24" s="1"/>
  <c r="U101" i="24"/>
  <c r="V101" i="24" s="1"/>
  <c r="BO59" i="24"/>
  <c r="BR59" i="24" s="1"/>
  <c r="U59" i="24"/>
  <c r="V59" i="24" s="1"/>
  <c r="BO11" i="24"/>
  <c r="BR11" i="24" s="1"/>
  <c r="U11" i="24"/>
  <c r="V11" i="24" s="1"/>
  <c r="BO82" i="24"/>
  <c r="BR82" i="24" s="1"/>
  <c r="U82" i="24"/>
  <c r="BO34" i="24"/>
  <c r="BR34" i="24" s="1"/>
  <c r="U34" i="24"/>
  <c r="BO85" i="24"/>
  <c r="BR85" i="24" s="1"/>
  <c r="U85" i="24"/>
  <c r="BO49" i="24"/>
  <c r="BR49" i="24" s="1"/>
  <c r="U49" i="24"/>
  <c r="BO25" i="24"/>
  <c r="BR25" i="24" s="1"/>
  <c r="U25" i="24"/>
  <c r="BO9" i="24"/>
  <c r="BR9" i="24" s="1"/>
  <c r="U9" i="24"/>
  <c r="BO92" i="24"/>
  <c r="BR92" i="24" s="1"/>
  <c r="U92" i="24"/>
  <c r="BO76" i="24"/>
  <c r="BR76" i="24" s="1"/>
  <c r="U76" i="24"/>
  <c r="BO60" i="24"/>
  <c r="BR60" i="24" s="1"/>
  <c r="U60" i="24"/>
  <c r="BO44" i="24"/>
  <c r="BR44" i="24" s="1"/>
  <c r="U44" i="24"/>
  <c r="V44" i="24" s="1"/>
  <c r="BO28" i="24"/>
  <c r="BR28" i="24" s="1"/>
  <c r="U28" i="24"/>
  <c r="BO12" i="24"/>
  <c r="BR12" i="24" s="1"/>
  <c r="U12" i="24"/>
  <c r="BO73" i="24"/>
  <c r="BR73" i="24" s="1"/>
  <c r="U73" i="24"/>
  <c r="BO99" i="24"/>
  <c r="BR99" i="24" s="1"/>
  <c r="U99" i="24"/>
  <c r="BO83" i="24"/>
  <c r="BR83" i="24" s="1"/>
  <c r="U83" i="24"/>
  <c r="BO67" i="24"/>
  <c r="BR67" i="24" s="1"/>
  <c r="U67" i="24"/>
  <c r="BO51" i="24"/>
  <c r="BR51" i="24" s="1"/>
  <c r="U51" i="24"/>
  <c r="V51" i="24" s="1"/>
  <c r="BO35" i="24"/>
  <c r="BR35" i="24" s="1"/>
  <c r="U35" i="24"/>
  <c r="BO19" i="24"/>
  <c r="BR19" i="24" s="1"/>
  <c r="U19" i="24"/>
  <c r="BO93" i="24"/>
  <c r="BR93" i="24" s="1"/>
  <c r="U93" i="24"/>
  <c r="BO41" i="24"/>
  <c r="BR41" i="24" s="1"/>
  <c r="U41" i="24"/>
  <c r="BO90" i="24"/>
  <c r="BR90" i="24" s="1"/>
  <c r="U90" i="24"/>
  <c r="BO74" i="24"/>
  <c r="BR74" i="24" s="1"/>
  <c r="U74" i="24"/>
  <c r="BO58" i="24"/>
  <c r="BR58" i="24" s="1"/>
  <c r="U58" i="24"/>
  <c r="BO42" i="24"/>
  <c r="BR42" i="24" s="1"/>
  <c r="U42" i="24"/>
  <c r="BO26" i="24"/>
  <c r="BR26" i="24" s="1"/>
  <c r="U26" i="24"/>
  <c r="BO10" i="24"/>
  <c r="BR10" i="24" s="1"/>
  <c r="U10" i="24"/>
  <c r="BO33" i="24"/>
  <c r="BR33" i="24" s="1"/>
  <c r="U33" i="24"/>
  <c r="BO84" i="24"/>
  <c r="BR84" i="24" s="1"/>
  <c r="U84" i="24"/>
  <c r="BO36" i="24"/>
  <c r="BR36" i="24" s="1"/>
  <c r="U36" i="24"/>
  <c r="V36" i="24" s="1"/>
  <c r="BO37" i="24"/>
  <c r="BR37" i="24" s="1"/>
  <c r="U37" i="24"/>
  <c r="BO75" i="24"/>
  <c r="BR75" i="24" s="1"/>
  <c r="U75" i="24"/>
  <c r="BO27" i="24"/>
  <c r="BR27" i="24" s="1"/>
  <c r="U27" i="24"/>
  <c r="BO98" i="24"/>
  <c r="BR98" i="24" s="1"/>
  <c r="U98" i="24"/>
  <c r="V98" i="24" s="1"/>
  <c r="BO77" i="24"/>
  <c r="BR77" i="24" s="1"/>
  <c r="U77" i="24"/>
  <c r="BO45" i="24"/>
  <c r="BR45" i="24" s="1"/>
  <c r="U45" i="24"/>
  <c r="BO21" i="24"/>
  <c r="BR21" i="24" s="1"/>
  <c r="U21" i="24"/>
  <c r="BO104" i="24"/>
  <c r="BR104" i="24" s="1"/>
  <c r="U104" i="24"/>
  <c r="BO88" i="24"/>
  <c r="BR88" i="24" s="1"/>
  <c r="U88" i="24"/>
  <c r="BO72" i="24"/>
  <c r="BR72" i="24" s="1"/>
  <c r="U72" i="24"/>
  <c r="BO56" i="24"/>
  <c r="BR56" i="24" s="1"/>
  <c r="U56" i="24"/>
  <c r="V56" i="24" s="1"/>
  <c r="BO40" i="24"/>
  <c r="BR40" i="24" s="1"/>
  <c r="U40" i="24"/>
  <c r="BO24" i="24"/>
  <c r="BR24" i="24" s="1"/>
  <c r="U24" i="24"/>
  <c r="BO8" i="24"/>
  <c r="BR8" i="24" s="1"/>
  <c r="U8" i="24"/>
  <c r="BO61" i="24"/>
  <c r="BR61" i="24" s="1"/>
  <c r="U61" i="24"/>
  <c r="BO95" i="24"/>
  <c r="BR95" i="24" s="1"/>
  <c r="U95" i="24"/>
  <c r="BO79" i="24"/>
  <c r="BR79" i="24" s="1"/>
  <c r="U79" i="24"/>
  <c r="BO63" i="24"/>
  <c r="BR63" i="24" s="1"/>
  <c r="U63" i="24"/>
  <c r="BO47" i="24"/>
  <c r="BR47" i="24" s="1"/>
  <c r="U47" i="24"/>
  <c r="BO31" i="24"/>
  <c r="BR31" i="24" s="1"/>
  <c r="U31" i="24"/>
  <c r="BO15" i="24"/>
  <c r="BR15" i="24" s="1"/>
  <c r="U15" i="24"/>
  <c r="BO81" i="24"/>
  <c r="BR81" i="24" s="1"/>
  <c r="U81" i="24"/>
  <c r="BO102" i="24"/>
  <c r="BR102" i="24" s="1"/>
  <c r="U102" i="24"/>
  <c r="V102" i="24" s="1"/>
  <c r="BO86" i="24"/>
  <c r="BR86" i="24" s="1"/>
  <c r="U86" i="24"/>
  <c r="BO70" i="24"/>
  <c r="BR70" i="24" s="1"/>
  <c r="U70" i="24"/>
  <c r="V70" i="24" s="1"/>
  <c r="BO54" i="24"/>
  <c r="BR54" i="24" s="1"/>
  <c r="U54" i="24"/>
  <c r="BO38" i="24"/>
  <c r="BR38" i="24" s="1"/>
  <c r="U38" i="24"/>
  <c r="BO22" i="24"/>
  <c r="BR22" i="24" s="1"/>
  <c r="U22" i="24"/>
  <c r="V22" i="24" s="1"/>
  <c r="BO6" i="24"/>
  <c r="BR6" i="24" s="1"/>
  <c r="U6" i="24"/>
  <c r="BN26" i="25"/>
  <c r="BR26" i="25" s="1"/>
  <c r="T26" i="25"/>
  <c r="BN36" i="25"/>
  <c r="BR36" i="25" s="1"/>
  <c r="T36" i="25"/>
  <c r="BN46" i="25"/>
  <c r="BR46" i="25" s="1"/>
  <c r="T46" i="25"/>
  <c r="BN41" i="25"/>
  <c r="BR41" i="25" s="1"/>
  <c r="T41" i="25"/>
  <c r="BN81" i="25"/>
  <c r="BR81" i="25" s="1"/>
  <c r="T81" i="25"/>
  <c r="BN16" i="25"/>
  <c r="BR16" i="25" s="1"/>
  <c r="T16" i="25"/>
  <c r="BN32" i="25"/>
  <c r="BR32" i="25" s="1"/>
  <c r="T32" i="25"/>
  <c r="BN52" i="25"/>
  <c r="BR52" i="25" s="1"/>
  <c r="T52" i="25"/>
  <c r="BN68" i="25"/>
  <c r="BR68" i="25" s="1"/>
  <c r="T68" i="25"/>
  <c r="BN84" i="25"/>
  <c r="BR84" i="25" s="1"/>
  <c r="T84" i="25"/>
  <c r="BN66" i="25"/>
  <c r="BR66" i="25" s="1"/>
  <c r="T66" i="25"/>
  <c r="BN82" i="25"/>
  <c r="BR82" i="25" s="1"/>
  <c r="T82" i="25"/>
  <c r="BN9" i="25"/>
  <c r="BR9" i="25" s="1"/>
  <c r="T9" i="25"/>
  <c r="BN17" i="25"/>
  <c r="BR17" i="25" s="1"/>
  <c r="T17" i="25"/>
  <c r="BN49" i="25"/>
  <c r="BR49" i="25" s="1"/>
  <c r="T49" i="25"/>
  <c r="BN73" i="25"/>
  <c r="BR73" i="25" s="1"/>
  <c r="T73" i="25"/>
  <c r="BN23" i="25"/>
  <c r="BR23" i="25" s="1"/>
  <c r="T23" i="25"/>
  <c r="BN43" i="25"/>
  <c r="BR43" i="25" s="1"/>
  <c r="T43" i="25"/>
  <c r="BN59" i="25"/>
  <c r="BR59" i="25" s="1"/>
  <c r="T59" i="25"/>
  <c r="BN75" i="25"/>
  <c r="BR75" i="25" s="1"/>
  <c r="T75" i="25"/>
  <c r="BN94" i="25"/>
  <c r="BR94" i="25" s="1"/>
  <c r="T94" i="25"/>
  <c r="BN98" i="25"/>
  <c r="BR98" i="25" s="1"/>
  <c r="T98" i="25"/>
  <c r="BN102" i="25"/>
  <c r="BR102" i="25" s="1"/>
  <c r="T102" i="25"/>
  <c r="BN14" i="25"/>
  <c r="BR14" i="25" s="1"/>
  <c r="T14" i="25"/>
  <c r="BN30" i="25"/>
  <c r="BR30" i="25" s="1"/>
  <c r="T30" i="25"/>
  <c r="BN37" i="25"/>
  <c r="BR37" i="25" s="1"/>
  <c r="T37" i="25"/>
  <c r="BN50" i="25"/>
  <c r="BR50" i="25" s="1"/>
  <c r="T50" i="25"/>
  <c r="BN45" i="25"/>
  <c r="BR45" i="25" s="1"/>
  <c r="T45" i="25"/>
  <c r="BN89" i="25"/>
  <c r="BR89" i="25" s="1"/>
  <c r="T89" i="25"/>
  <c r="BN20" i="25"/>
  <c r="BR20" i="25" s="1"/>
  <c r="T20" i="25"/>
  <c r="BN40" i="25"/>
  <c r="BR40" i="25" s="1"/>
  <c r="T40" i="25"/>
  <c r="BN56" i="25"/>
  <c r="BR56" i="25" s="1"/>
  <c r="T56" i="25"/>
  <c r="BN72" i="25"/>
  <c r="BR72" i="25" s="1"/>
  <c r="T72" i="25"/>
  <c r="BN88" i="25"/>
  <c r="BR88" i="25" s="1"/>
  <c r="T88" i="25"/>
  <c r="BN70" i="25"/>
  <c r="BR70" i="25" s="1"/>
  <c r="T70" i="25"/>
  <c r="BN86" i="25"/>
  <c r="BR86" i="25" s="1"/>
  <c r="T86" i="25"/>
  <c r="BN10" i="25"/>
  <c r="BR10" i="25" s="1"/>
  <c r="T10" i="25"/>
  <c r="BN25" i="25"/>
  <c r="BR25" i="25" s="1"/>
  <c r="T25" i="25"/>
  <c r="BN57" i="25"/>
  <c r="BR57" i="25" s="1"/>
  <c r="T57" i="25"/>
  <c r="BN77" i="25"/>
  <c r="BR77" i="25" s="1"/>
  <c r="T77" i="25"/>
  <c r="BN27" i="25"/>
  <c r="BR27" i="25" s="1"/>
  <c r="T27" i="25"/>
  <c r="BN47" i="25"/>
  <c r="BR47" i="25" s="1"/>
  <c r="T47" i="25"/>
  <c r="BN63" i="25"/>
  <c r="BR63" i="25" s="1"/>
  <c r="T63" i="25"/>
  <c r="BN79" i="25"/>
  <c r="BR79" i="25" s="1"/>
  <c r="T79" i="25"/>
  <c r="BN91" i="25"/>
  <c r="BR91" i="25" s="1"/>
  <c r="T91" i="25"/>
  <c r="BN95" i="25"/>
  <c r="BR95" i="25" s="1"/>
  <c r="T95" i="25"/>
  <c r="BN99" i="25"/>
  <c r="BR99" i="25" s="1"/>
  <c r="T99" i="25"/>
  <c r="BN103" i="25"/>
  <c r="BR103" i="25" s="1"/>
  <c r="T103" i="25"/>
  <c r="BN18" i="25"/>
  <c r="BR18" i="25" s="1"/>
  <c r="T18" i="25"/>
  <c r="BN38" i="25"/>
  <c r="BR38" i="25" s="1"/>
  <c r="T38" i="25"/>
  <c r="BN58" i="25"/>
  <c r="BR58" i="25" s="1"/>
  <c r="T58" i="25"/>
  <c r="BN53" i="25"/>
  <c r="BR53" i="25" s="1"/>
  <c r="T53" i="25"/>
  <c r="BN24" i="25"/>
  <c r="BR24" i="25" s="1"/>
  <c r="T24" i="25"/>
  <c r="BN60" i="25"/>
  <c r="BR60" i="25" s="1"/>
  <c r="T60" i="25"/>
  <c r="BN76" i="25"/>
  <c r="BR76" i="25" s="1"/>
  <c r="T76" i="25"/>
  <c r="BN54" i="25"/>
  <c r="BR54" i="25" s="1"/>
  <c r="T54" i="25"/>
  <c r="BN74" i="25"/>
  <c r="BR74" i="25" s="1"/>
  <c r="T74" i="25"/>
  <c r="BN90" i="25"/>
  <c r="BR90" i="25" s="1"/>
  <c r="T90" i="25"/>
  <c r="BN11" i="25"/>
  <c r="BR11" i="25" s="1"/>
  <c r="T11" i="25"/>
  <c r="BN29" i="25"/>
  <c r="BR29" i="25" s="1"/>
  <c r="T29" i="25"/>
  <c r="BN61" i="25"/>
  <c r="BR61" i="25" s="1"/>
  <c r="T61" i="25"/>
  <c r="BN15" i="25"/>
  <c r="BR15" i="25" s="1"/>
  <c r="T15" i="25"/>
  <c r="BN31" i="25"/>
  <c r="BR31" i="25" s="1"/>
  <c r="T31" i="25"/>
  <c r="BN51" i="25"/>
  <c r="BR51" i="25" s="1"/>
  <c r="T51" i="25"/>
  <c r="BN67" i="25"/>
  <c r="BR67" i="25" s="1"/>
  <c r="T67" i="25"/>
  <c r="BN83" i="25"/>
  <c r="BR83" i="25" s="1"/>
  <c r="T83" i="25"/>
  <c r="BN92" i="25"/>
  <c r="BR92" i="25" s="1"/>
  <c r="T92" i="25"/>
  <c r="BN96" i="25"/>
  <c r="BR96" i="25" s="1"/>
  <c r="T96" i="25"/>
  <c r="BN100" i="25"/>
  <c r="BR100" i="25" s="1"/>
  <c r="T100" i="25"/>
  <c r="BN104" i="25"/>
  <c r="BR104" i="25" s="1"/>
  <c r="T104" i="25"/>
  <c r="BN34" i="25"/>
  <c r="BR34" i="25" s="1"/>
  <c r="T34" i="25"/>
  <c r="BN44" i="25"/>
  <c r="BR44" i="25" s="1"/>
  <c r="T44" i="25"/>
  <c r="BN85" i="25"/>
  <c r="BR85" i="25" s="1"/>
  <c r="T85" i="25"/>
  <c r="BN22" i="25"/>
  <c r="BR22" i="25" s="1"/>
  <c r="T22" i="25"/>
  <c r="BN35" i="25"/>
  <c r="BR35" i="25" s="1"/>
  <c r="T35" i="25"/>
  <c r="BN42" i="25"/>
  <c r="BR42" i="25" s="1"/>
  <c r="T42" i="25"/>
  <c r="BN21" i="25"/>
  <c r="BR21" i="25" s="1"/>
  <c r="T21" i="25"/>
  <c r="BN69" i="25"/>
  <c r="BR69" i="25" s="1"/>
  <c r="T69" i="25"/>
  <c r="BN12" i="25"/>
  <c r="BR12" i="25" s="1"/>
  <c r="T12" i="25"/>
  <c r="BN28" i="25"/>
  <c r="BR28" i="25" s="1"/>
  <c r="T28" i="25"/>
  <c r="BN48" i="25"/>
  <c r="BR48" i="25" s="1"/>
  <c r="T48" i="25"/>
  <c r="BN64" i="25"/>
  <c r="BR64" i="25" s="1"/>
  <c r="T64" i="25"/>
  <c r="BN80" i="25"/>
  <c r="BR80" i="25" s="1"/>
  <c r="T80" i="25"/>
  <c r="BN62" i="25"/>
  <c r="BR62" i="25" s="1"/>
  <c r="T62" i="25"/>
  <c r="BN78" i="25"/>
  <c r="BR78" i="25" s="1"/>
  <c r="T78" i="25"/>
  <c r="BN8" i="25"/>
  <c r="BR8" i="25" s="1"/>
  <c r="T8" i="25"/>
  <c r="BN13" i="25"/>
  <c r="BR13" i="25" s="1"/>
  <c r="T13" i="25"/>
  <c r="BN33" i="25"/>
  <c r="BR33" i="25" s="1"/>
  <c r="T33" i="25"/>
  <c r="BN65" i="25"/>
  <c r="BR65" i="25" s="1"/>
  <c r="T65" i="25"/>
  <c r="BN19" i="25"/>
  <c r="BR19" i="25" s="1"/>
  <c r="T19" i="25"/>
  <c r="BN39" i="25"/>
  <c r="BR39" i="25" s="1"/>
  <c r="T39" i="25"/>
  <c r="BN55" i="25"/>
  <c r="BR55" i="25" s="1"/>
  <c r="T55" i="25"/>
  <c r="BN71" i="25"/>
  <c r="BR71" i="25" s="1"/>
  <c r="T71" i="25"/>
  <c r="BN87" i="25"/>
  <c r="BR87" i="25" s="1"/>
  <c r="T87" i="25"/>
  <c r="BN93" i="25"/>
  <c r="BR93" i="25" s="1"/>
  <c r="T93" i="25"/>
  <c r="BN97" i="25"/>
  <c r="BR97" i="25" s="1"/>
  <c r="T97" i="25"/>
  <c r="BN101" i="25"/>
  <c r="BR101" i="25" s="1"/>
  <c r="T101" i="25"/>
  <c r="BN105" i="25"/>
  <c r="BR105" i="25" s="1"/>
  <c r="T105" i="25"/>
  <c r="U195" i="24"/>
  <c r="U124" i="24"/>
  <c r="U168" i="24"/>
  <c r="V168" i="24" s="1"/>
  <c r="T116" i="25"/>
  <c r="T174" i="25"/>
  <c r="T201" i="25"/>
  <c r="O110" i="25"/>
  <c r="Q110" i="25" s="1"/>
  <c r="CF110" i="25" s="1"/>
  <c r="U121" i="24"/>
  <c r="V121" i="24" s="1"/>
  <c r="U151" i="24"/>
  <c r="V151" i="24" s="1"/>
  <c r="U130" i="24"/>
  <c r="V130" i="24" s="1"/>
  <c r="U180" i="24"/>
  <c r="U164" i="24"/>
  <c r="V164" i="24" s="1"/>
  <c r="T160" i="25"/>
  <c r="T130" i="25"/>
  <c r="T178" i="25"/>
  <c r="T159" i="25"/>
  <c r="U178" i="24"/>
  <c r="V178" i="24" s="1"/>
  <c r="U139" i="24"/>
  <c r="V139" i="24" s="1"/>
  <c r="U193" i="24"/>
  <c r="U160" i="24"/>
  <c r="T161" i="25"/>
  <c r="T185" i="25"/>
  <c r="T182" i="25"/>
  <c r="W44" i="2"/>
  <c r="D46" i="16" s="1"/>
  <c r="R10" i="25"/>
  <c r="R80" i="25"/>
  <c r="Q9" i="25"/>
  <c r="Q53" i="25"/>
  <c r="Q18" i="25"/>
  <c r="Q57" i="25"/>
  <c r="R55" i="25"/>
  <c r="Q94" i="25"/>
  <c r="R52" i="25"/>
  <c r="R93" i="25"/>
  <c r="Q12" i="25"/>
  <c r="R32" i="25"/>
  <c r="R59" i="25"/>
  <c r="R104" i="25"/>
  <c r="Q111" i="25"/>
  <c r="Q89" i="25"/>
  <c r="R155" i="25"/>
  <c r="R65" i="25"/>
  <c r="Q13" i="25"/>
  <c r="R31" i="25"/>
  <c r="B25" i="2"/>
  <c r="Q66" i="25"/>
  <c r="Q35" i="25"/>
  <c r="R69" i="25"/>
  <c r="R76" i="25"/>
  <c r="Q37" i="25"/>
  <c r="R51" i="25"/>
  <c r="R84" i="25"/>
  <c r="R105" i="25"/>
  <c r="Q99" i="25"/>
  <c r="Q29" i="25"/>
  <c r="Q98" i="25"/>
  <c r="R131" i="25"/>
  <c r="R54" i="25"/>
  <c r="Q34" i="25"/>
  <c r="R103" i="25"/>
  <c r="Q20" i="25"/>
  <c r="Q63" i="25"/>
  <c r="R33" i="25"/>
  <c r="R91" i="25"/>
  <c r="R119" i="25"/>
  <c r="R58" i="25"/>
  <c r="R6" i="25"/>
  <c r="R90" i="25"/>
  <c r="Q16" i="25"/>
  <c r="R41" i="25"/>
  <c r="Q81" i="25"/>
  <c r="R82" i="25"/>
  <c r="R44" i="25"/>
  <c r="Q115" i="25"/>
  <c r="Q50" i="25"/>
  <c r="Q64" i="25"/>
  <c r="Q61" i="25"/>
  <c r="R169" i="25"/>
  <c r="R72" i="25"/>
  <c r="Q71" i="25"/>
  <c r="R203" i="25"/>
  <c r="Q62" i="25"/>
  <c r="R85" i="25"/>
  <c r="R87" i="25"/>
  <c r="R178" i="25"/>
  <c r="R163" i="25"/>
  <c r="R36" i="25"/>
  <c r="R100" i="25"/>
  <c r="R96" i="25"/>
  <c r="R8" i="25"/>
  <c r="R38" i="25"/>
  <c r="Q7" i="25"/>
  <c r="Q46" i="25"/>
  <c r="Q17" i="25"/>
  <c r="Q39" i="25"/>
  <c r="Q73" i="25"/>
  <c r="R116" i="25"/>
  <c r="R86" i="25"/>
  <c r="Q189" i="25"/>
  <c r="R75" i="25"/>
  <c r="R188" i="25"/>
  <c r="R22" i="25"/>
  <c r="R47" i="25"/>
  <c r="R70" i="25"/>
  <c r="R14" i="25"/>
  <c r="Q42" i="25"/>
  <c r="Q30" i="25"/>
  <c r="Q67" i="25"/>
  <c r="R74" i="25"/>
  <c r="R56" i="25"/>
  <c r="R83" i="25"/>
  <c r="Q101" i="25"/>
  <c r="Q79" i="25"/>
  <c r="R43" i="25"/>
  <c r="Q138" i="25"/>
  <c r="Q49" i="25"/>
  <c r="Q68" i="25"/>
  <c r="R45" i="25"/>
  <c r="R88" i="25"/>
  <c r="Q25" i="25"/>
  <c r="R190" i="25"/>
  <c r="R26" i="25"/>
  <c r="Q24" i="25"/>
  <c r="Q173" i="25"/>
  <c r="Q112" i="25"/>
  <c r="Q48" i="25"/>
  <c r="R40" i="25"/>
  <c r="Q191" i="25"/>
  <c r="R21" i="25"/>
  <c r="R15" i="25"/>
  <c r="Q60" i="25"/>
  <c r="R23" i="25"/>
  <c r="R78" i="25"/>
  <c r="Q27" i="25"/>
  <c r="R77" i="25"/>
  <c r="Q102" i="25"/>
  <c r="R92" i="25"/>
  <c r="R28" i="25"/>
  <c r="R11" i="25"/>
  <c r="Q95" i="25"/>
  <c r="Q19" i="25"/>
  <c r="R97" i="25"/>
  <c r="P9" i="25"/>
  <c r="P13" i="25"/>
  <c r="P17" i="25"/>
  <c r="P21" i="25"/>
  <c r="P25" i="25"/>
  <c r="P29" i="25"/>
  <c r="P33" i="25"/>
  <c r="P37" i="25"/>
  <c r="P41" i="25"/>
  <c r="P45" i="25"/>
  <c r="P49" i="25"/>
  <c r="P53" i="25"/>
  <c r="P57" i="25"/>
  <c r="P61" i="25"/>
  <c r="P65" i="25"/>
  <c r="P69" i="25"/>
  <c r="P73" i="25"/>
  <c r="P77" i="25"/>
  <c r="P81" i="25"/>
  <c r="P85" i="25"/>
  <c r="P89" i="25"/>
  <c r="P93" i="25"/>
  <c r="P97" i="25"/>
  <c r="P101" i="25"/>
  <c r="P105" i="25"/>
  <c r="P113" i="25"/>
  <c r="P117" i="25"/>
  <c r="P121" i="25"/>
  <c r="P125" i="25"/>
  <c r="P129" i="25"/>
  <c r="P133" i="25"/>
  <c r="P137" i="25"/>
  <c r="P141" i="25"/>
  <c r="P145" i="25"/>
  <c r="P149" i="25"/>
  <c r="P153" i="25"/>
  <c r="P157" i="25"/>
  <c r="P161" i="25"/>
  <c r="P165" i="25"/>
  <c r="P169" i="25"/>
  <c r="P173" i="25"/>
  <c r="P177" i="25"/>
  <c r="P181" i="25"/>
  <c r="P185" i="25"/>
  <c r="P189" i="25"/>
  <c r="P193" i="25"/>
  <c r="P197" i="25"/>
  <c r="P201" i="25"/>
  <c r="P205" i="25"/>
  <c r="P209" i="25"/>
  <c r="P6" i="25"/>
  <c r="P10" i="25"/>
  <c r="P14" i="25"/>
  <c r="P18" i="25"/>
  <c r="P22" i="25"/>
  <c r="P26" i="25"/>
  <c r="P30" i="25"/>
  <c r="P34" i="25"/>
  <c r="P38" i="25"/>
  <c r="P42" i="25"/>
  <c r="P46" i="25"/>
  <c r="P50" i="25"/>
  <c r="P54" i="25"/>
  <c r="P58" i="25"/>
  <c r="P62" i="25"/>
  <c r="P66" i="25"/>
  <c r="P70" i="25"/>
  <c r="P74" i="25"/>
  <c r="P78" i="25"/>
  <c r="P82" i="25"/>
  <c r="P86" i="25"/>
  <c r="P90" i="25"/>
  <c r="P94" i="25"/>
  <c r="P98" i="25"/>
  <c r="P102" i="25"/>
  <c r="P110" i="25"/>
  <c r="P114" i="25"/>
  <c r="P118" i="25"/>
  <c r="P122" i="25"/>
  <c r="P126" i="25"/>
  <c r="P130" i="25"/>
  <c r="P134" i="25"/>
  <c r="P138" i="25"/>
  <c r="P142" i="25"/>
  <c r="P146" i="25"/>
  <c r="P150" i="25"/>
  <c r="P154" i="25"/>
  <c r="P158" i="25"/>
  <c r="P162" i="25"/>
  <c r="P166" i="25"/>
  <c r="P170" i="25"/>
  <c r="P174" i="25"/>
  <c r="P178" i="25"/>
  <c r="P7" i="25"/>
  <c r="P11" i="25"/>
  <c r="P15" i="25"/>
  <c r="P19" i="25"/>
  <c r="P23" i="25"/>
  <c r="P27" i="25"/>
  <c r="P31" i="25"/>
  <c r="P35" i="25"/>
  <c r="P39" i="25"/>
  <c r="P43" i="25"/>
  <c r="P47" i="25"/>
  <c r="P51" i="25"/>
  <c r="P55" i="25"/>
  <c r="P59" i="25"/>
  <c r="P63" i="25"/>
  <c r="P67" i="25"/>
  <c r="P71" i="25"/>
  <c r="P75" i="25"/>
  <c r="P79" i="25"/>
  <c r="P83" i="25"/>
  <c r="P87" i="25"/>
  <c r="P91" i="25"/>
  <c r="P95" i="25"/>
  <c r="P99" i="25"/>
  <c r="P103" i="25"/>
  <c r="P111" i="25"/>
  <c r="P115" i="25"/>
  <c r="P119" i="25"/>
  <c r="P123" i="25"/>
  <c r="P127" i="25"/>
  <c r="P131" i="25"/>
  <c r="P135" i="25"/>
  <c r="P139" i="25"/>
  <c r="P143" i="25"/>
  <c r="P147" i="25"/>
  <c r="P151" i="25"/>
  <c r="P155" i="25"/>
  <c r="P159" i="25"/>
  <c r="P163" i="25"/>
  <c r="P167" i="25"/>
  <c r="P171" i="25"/>
  <c r="P175" i="25"/>
  <c r="P179" i="25"/>
  <c r="P183" i="25"/>
  <c r="P187" i="25"/>
  <c r="P191" i="25"/>
  <c r="P195" i="25"/>
  <c r="P199" i="25"/>
  <c r="P203" i="25"/>
  <c r="P207" i="25"/>
  <c r="P218" i="25"/>
  <c r="P222" i="25"/>
  <c r="P226" i="25"/>
  <c r="P230" i="25"/>
  <c r="P234" i="25"/>
  <c r="P238" i="25"/>
  <c r="P242" i="25"/>
  <c r="P246" i="25"/>
  <c r="P250" i="25"/>
  <c r="P254" i="25"/>
  <c r="P20" i="25"/>
  <c r="P36" i="25"/>
  <c r="P52" i="25"/>
  <c r="P68" i="25"/>
  <c r="P84" i="25"/>
  <c r="P100" i="25"/>
  <c r="P120" i="25"/>
  <c r="P136" i="25"/>
  <c r="P152" i="25"/>
  <c r="P168" i="25"/>
  <c r="P182" i="25"/>
  <c r="P190" i="25"/>
  <c r="P198" i="25"/>
  <c r="P206" i="25"/>
  <c r="P220" i="25"/>
  <c r="P225" i="25"/>
  <c r="P231" i="25"/>
  <c r="P236" i="25"/>
  <c r="P241" i="25"/>
  <c r="P247" i="25"/>
  <c r="P252" i="25"/>
  <c r="P257" i="25"/>
  <c r="P261" i="25"/>
  <c r="P265" i="25"/>
  <c r="P269" i="25"/>
  <c r="P273" i="25"/>
  <c r="P277" i="25"/>
  <c r="P281" i="25"/>
  <c r="P285" i="25"/>
  <c r="P289" i="25"/>
  <c r="P293" i="25"/>
  <c r="P297" i="25"/>
  <c r="P301" i="25"/>
  <c r="P305" i="25"/>
  <c r="P309" i="25"/>
  <c r="P313" i="25"/>
  <c r="P317" i="25"/>
  <c r="P8" i="25"/>
  <c r="P56" i="25"/>
  <c r="P88" i="25"/>
  <c r="P140" i="25"/>
  <c r="P184" i="25"/>
  <c r="P208" i="25"/>
  <c r="P227" i="25"/>
  <c r="P248" i="25"/>
  <c r="P262" i="25"/>
  <c r="P270" i="25"/>
  <c r="P282" i="25"/>
  <c r="P294" i="25"/>
  <c r="P306" i="25"/>
  <c r="P318" i="25"/>
  <c r="P12" i="25"/>
  <c r="P28" i="25"/>
  <c r="P44" i="25"/>
  <c r="P60" i="25"/>
  <c r="P76" i="25"/>
  <c r="P92" i="25"/>
  <c r="P112" i="25"/>
  <c r="P128" i="25"/>
  <c r="P144" i="25"/>
  <c r="P160" i="25"/>
  <c r="P176" i="25"/>
  <c r="P186" i="25"/>
  <c r="P194" i="25"/>
  <c r="P202" i="25"/>
  <c r="P210" i="25"/>
  <c r="P223" i="25"/>
  <c r="P228" i="25"/>
  <c r="P233" i="25"/>
  <c r="P239" i="25"/>
  <c r="P244" i="25"/>
  <c r="P249" i="25"/>
  <c r="P255" i="25"/>
  <c r="P259" i="25"/>
  <c r="P263" i="25"/>
  <c r="P267" i="25"/>
  <c r="P271" i="25"/>
  <c r="P275" i="25"/>
  <c r="P279" i="25"/>
  <c r="P283" i="25"/>
  <c r="P287" i="25"/>
  <c r="P291" i="25"/>
  <c r="P295" i="25"/>
  <c r="P299" i="25"/>
  <c r="P303" i="25"/>
  <c r="P307" i="25"/>
  <c r="P311" i="25"/>
  <c r="P315" i="25"/>
  <c r="P5" i="25"/>
  <c r="P304" i="25"/>
  <c r="P24" i="25"/>
  <c r="P72" i="25"/>
  <c r="P124" i="25"/>
  <c r="P156" i="25"/>
  <c r="P192" i="25"/>
  <c r="P221" i="25"/>
  <c r="P232" i="25"/>
  <c r="P243" i="25"/>
  <c r="P258" i="25"/>
  <c r="P266" i="25"/>
  <c r="P278" i="25"/>
  <c r="P286" i="25"/>
  <c r="P298" i="25"/>
  <c r="P310" i="25"/>
  <c r="P314" i="25"/>
  <c r="P16" i="25"/>
  <c r="P32" i="25"/>
  <c r="P48" i="25"/>
  <c r="P64" i="25"/>
  <c r="P80" i="25"/>
  <c r="P96" i="25"/>
  <c r="P116" i="25"/>
  <c r="P132" i="25"/>
  <c r="P148" i="25"/>
  <c r="P164" i="25"/>
  <c r="P180" i="25"/>
  <c r="P188" i="25"/>
  <c r="P196" i="25"/>
  <c r="P204" i="25"/>
  <c r="P219" i="25"/>
  <c r="P224" i="25"/>
  <c r="P229" i="25"/>
  <c r="P235" i="25"/>
  <c r="P240" i="25"/>
  <c r="P245" i="25"/>
  <c r="P251" i="25"/>
  <c r="P256" i="25"/>
  <c r="P260" i="25"/>
  <c r="P264" i="25"/>
  <c r="P268" i="25"/>
  <c r="P272" i="25"/>
  <c r="P276" i="25"/>
  <c r="P280" i="25"/>
  <c r="P284" i="25"/>
  <c r="P288" i="25"/>
  <c r="P292" i="25"/>
  <c r="P296" i="25"/>
  <c r="P300" i="25"/>
  <c r="P308" i="25"/>
  <c r="P312" i="25"/>
  <c r="P316" i="25"/>
  <c r="P40" i="25"/>
  <c r="P104" i="25"/>
  <c r="P172" i="25"/>
  <c r="P200" i="25"/>
  <c r="P237" i="25"/>
  <c r="P253" i="25"/>
  <c r="P274" i="25"/>
  <c r="P290" i="25"/>
  <c r="P302" i="25"/>
  <c r="O5" i="25"/>
  <c r="CC18" i="25"/>
  <c r="CC38" i="25"/>
  <c r="CC58" i="25"/>
  <c r="CC53" i="25"/>
  <c r="CC24" i="25"/>
  <c r="CC60" i="25"/>
  <c r="CC76" i="25"/>
  <c r="CC74" i="25"/>
  <c r="CC90" i="25"/>
  <c r="CC11" i="25"/>
  <c r="CC61" i="25"/>
  <c r="CC85" i="25"/>
  <c r="CC31" i="25"/>
  <c r="CC67" i="25"/>
  <c r="CC83" i="25"/>
  <c r="CC92" i="25"/>
  <c r="CC100" i="25"/>
  <c r="CC22" i="25"/>
  <c r="CC42" i="25"/>
  <c r="CC69" i="25"/>
  <c r="CC28" i="25"/>
  <c r="CC64" i="25"/>
  <c r="CC13" i="25"/>
  <c r="CC33" i="25"/>
  <c r="CC65" i="25"/>
  <c r="CC19" i="25"/>
  <c r="CC55" i="25"/>
  <c r="CC71" i="25"/>
  <c r="CC87" i="25"/>
  <c r="CC97" i="25"/>
  <c r="CC105" i="25"/>
  <c r="CC26" i="25"/>
  <c r="CC36" i="25"/>
  <c r="CC46" i="25"/>
  <c r="CC41" i="25"/>
  <c r="CC81" i="25"/>
  <c r="CC16" i="25"/>
  <c r="CC32" i="25"/>
  <c r="CC52" i="25"/>
  <c r="CC68" i="25"/>
  <c r="CC84" i="25"/>
  <c r="CC66" i="25"/>
  <c r="CC82" i="25"/>
  <c r="CC9" i="25"/>
  <c r="CC17" i="25"/>
  <c r="CC49" i="25"/>
  <c r="CC73" i="25"/>
  <c r="CC23" i="25"/>
  <c r="CC43" i="25"/>
  <c r="CC59" i="25"/>
  <c r="CC75" i="25"/>
  <c r="CC94" i="25"/>
  <c r="CC98" i="25"/>
  <c r="CC102" i="25"/>
  <c r="CC34" i="25"/>
  <c r="CC44" i="25"/>
  <c r="CC54" i="25"/>
  <c r="CC29" i="25"/>
  <c r="CC15" i="25"/>
  <c r="CC51" i="25"/>
  <c r="CC96" i="25"/>
  <c r="CC104" i="25"/>
  <c r="CC35" i="25"/>
  <c r="CC21" i="25"/>
  <c r="CC12" i="25"/>
  <c r="CC48" i="25"/>
  <c r="CC80" i="25"/>
  <c r="CC62" i="25"/>
  <c r="CC78" i="25"/>
  <c r="CC8" i="25"/>
  <c r="CC39" i="25"/>
  <c r="CC93" i="25"/>
  <c r="CC101" i="25"/>
  <c r="CC14" i="25"/>
  <c r="CC30" i="25"/>
  <c r="CC37" i="25"/>
  <c r="CC50" i="25"/>
  <c r="CC45" i="25"/>
  <c r="CC89" i="25"/>
  <c r="CC20" i="25"/>
  <c r="CC40" i="25"/>
  <c r="CC56" i="25"/>
  <c r="CC72" i="25"/>
  <c r="CC88" i="25"/>
  <c r="CC70" i="25"/>
  <c r="CC86" i="25"/>
  <c r="CC10" i="25"/>
  <c r="CC25" i="25"/>
  <c r="CC57" i="25"/>
  <c r="CC77" i="25"/>
  <c r="CC27" i="25"/>
  <c r="CC47" i="25"/>
  <c r="CC63" i="25"/>
  <c r="CC79" i="25"/>
  <c r="CC91" i="25"/>
  <c r="CC95" i="25"/>
  <c r="CC99" i="25"/>
  <c r="CC103" i="25"/>
  <c r="AY7" i="19"/>
  <c r="BD7" i="19" s="1"/>
  <c r="BN7" i="19"/>
  <c r="AY8" i="19"/>
  <c r="BC8" i="19" s="1"/>
  <c r="BN8" i="19"/>
  <c r="AY6" i="19"/>
  <c r="BJ6" i="19" s="1"/>
  <c r="BN6" i="19"/>
  <c r="AY9" i="19"/>
  <c r="BN9" i="19"/>
  <c r="R258" i="25"/>
  <c r="Q258" i="25"/>
  <c r="Q293" i="25"/>
  <c r="R220" i="25"/>
  <c r="Q220" i="25"/>
  <c r="R287" i="25"/>
  <c r="Q287" i="25"/>
  <c r="Q233" i="25"/>
  <c r="R283" i="25"/>
  <c r="Q283" i="25"/>
  <c r="Q286" i="25"/>
  <c r="Q246" i="25"/>
  <c r="R236" i="25"/>
  <c r="Q245" i="25"/>
  <c r="R273" i="25"/>
  <c r="Q273" i="25"/>
  <c r="R312" i="25"/>
  <c r="R299" i="25"/>
  <c r="Q299" i="25"/>
  <c r="Q235" i="25"/>
  <c r="R284" i="25"/>
  <c r="Q284" i="25"/>
  <c r="R238" i="25"/>
  <c r="R314" i="25"/>
  <c r="Q314" i="25"/>
  <c r="Q285" i="25"/>
  <c r="Q294" i="25"/>
  <c r="R262" i="25"/>
  <c r="Q262" i="25"/>
  <c r="AL34" i="25"/>
  <c r="H34" i="25"/>
  <c r="S34" i="25"/>
  <c r="K34" i="25" s="1"/>
  <c r="AL58" i="25"/>
  <c r="H58" i="25"/>
  <c r="S58" i="25"/>
  <c r="K58" i="25" s="1"/>
  <c r="H121" i="25"/>
  <c r="AL121" i="25"/>
  <c r="AL44" i="25"/>
  <c r="H44" i="25"/>
  <c r="S44" i="25"/>
  <c r="K44" i="25" s="1"/>
  <c r="AL76" i="25"/>
  <c r="H76" i="25"/>
  <c r="S76" i="25"/>
  <c r="K76" i="25" s="1"/>
  <c r="AL74" i="25"/>
  <c r="H74" i="25"/>
  <c r="S74" i="25"/>
  <c r="K74" i="25" s="1"/>
  <c r="AL124" i="25"/>
  <c r="H124" i="25"/>
  <c r="AL17" i="25"/>
  <c r="H17" i="25"/>
  <c r="S17" i="25"/>
  <c r="K17" i="25" s="1"/>
  <c r="AL73" i="25"/>
  <c r="H73" i="25"/>
  <c r="S73" i="25"/>
  <c r="K73" i="25" s="1"/>
  <c r="AL23" i="25"/>
  <c r="H23" i="25"/>
  <c r="S23" i="25"/>
  <c r="K23" i="25" s="1"/>
  <c r="AL43" i="25"/>
  <c r="H43" i="25"/>
  <c r="S43" i="25"/>
  <c r="K43" i="25" s="1"/>
  <c r="AL75" i="25"/>
  <c r="H75" i="25"/>
  <c r="S75" i="25"/>
  <c r="K75" i="25" s="1"/>
  <c r="H225" i="25"/>
  <c r="AL225" i="25"/>
  <c r="H292" i="25"/>
  <c r="AL292" i="25"/>
  <c r="AL98" i="25"/>
  <c r="H98" i="25"/>
  <c r="S98" i="25"/>
  <c r="K98" i="25" s="1"/>
  <c r="AL111" i="25"/>
  <c r="H111" i="25"/>
  <c r="S111" i="25"/>
  <c r="K111" i="25" s="1"/>
  <c r="H133" i="25"/>
  <c r="AL133" i="25"/>
  <c r="H141" i="25"/>
  <c r="AL141" i="25"/>
  <c r="H157" i="25"/>
  <c r="AL157" i="25"/>
  <c r="H173" i="25"/>
  <c r="AL173" i="25"/>
  <c r="S173" i="25"/>
  <c r="K173" i="25" s="1"/>
  <c r="H197" i="25"/>
  <c r="AL197" i="25"/>
  <c r="H158" i="25"/>
  <c r="AL158" i="25"/>
  <c r="H190" i="25"/>
  <c r="AL190" i="25"/>
  <c r="S190" i="25"/>
  <c r="K190" i="25" s="1"/>
  <c r="H237" i="25"/>
  <c r="AL237" i="25"/>
  <c r="H253" i="25"/>
  <c r="AL253" i="25"/>
  <c r="H269" i="25"/>
  <c r="AL269" i="25"/>
  <c r="AL155" i="25"/>
  <c r="H155" i="25"/>
  <c r="S155" i="25"/>
  <c r="K155" i="25" s="1"/>
  <c r="AL187" i="25"/>
  <c r="H187" i="25"/>
  <c r="AL201" i="25"/>
  <c r="H201" i="25"/>
  <c r="AL318" i="25"/>
  <c r="H318" i="25"/>
  <c r="AL14" i="25"/>
  <c r="H14" i="25"/>
  <c r="S14" i="25"/>
  <c r="K14" i="25" s="1"/>
  <c r="AL30" i="25"/>
  <c r="H30" i="25"/>
  <c r="S30" i="25"/>
  <c r="K30" i="25" s="1"/>
  <c r="AL37" i="25"/>
  <c r="H37" i="25"/>
  <c r="S37" i="25"/>
  <c r="K37" i="25" s="1"/>
  <c r="AL50" i="25"/>
  <c r="H50" i="25"/>
  <c r="S50" i="25"/>
  <c r="K50" i="25" s="1"/>
  <c r="AL45" i="25"/>
  <c r="H45" i="25"/>
  <c r="S45" i="25"/>
  <c r="K45" i="25" s="1"/>
  <c r="AL89" i="25"/>
  <c r="H89" i="25"/>
  <c r="S89" i="25"/>
  <c r="K89" i="25" s="1"/>
  <c r="AL20" i="25"/>
  <c r="H20" i="25"/>
  <c r="S20" i="25"/>
  <c r="K20" i="25" s="1"/>
  <c r="AL40" i="25"/>
  <c r="H40" i="25"/>
  <c r="S40" i="25"/>
  <c r="K40" i="25" s="1"/>
  <c r="AL56" i="25"/>
  <c r="H56" i="25"/>
  <c r="S56" i="25"/>
  <c r="K56" i="25" s="1"/>
  <c r="AL72" i="25"/>
  <c r="H72" i="25"/>
  <c r="S72" i="25"/>
  <c r="K72" i="25" s="1"/>
  <c r="AL88" i="25"/>
  <c r="H88" i="25"/>
  <c r="S88" i="25"/>
  <c r="K88" i="25" s="1"/>
  <c r="AL70" i="25"/>
  <c r="H70" i="25"/>
  <c r="S70" i="25"/>
  <c r="K70" i="25" s="1"/>
  <c r="AL86" i="25"/>
  <c r="H86" i="25"/>
  <c r="S86" i="25"/>
  <c r="K86" i="25" s="1"/>
  <c r="AL120" i="25"/>
  <c r="H120" i="25"/>
  <c r="H8" i="25"/>
  <c r="AL8" i="25"/>
  <c r="S8" i="25"/>
  <c r="K8" i="25" s="1"/>
  <c r="AL13" i="25"/>
  <c r="H13" i="25"/>
  <c r="S13" i="25"/>
  <c r="K13" i="25" s="1"/>
  <c r="AL33" i="25"/>
  <c r="H33" i="25"/>
  <c r="S33" i="25"/>
  <c r="K33" i="25" s="1"/>
  <c r="AL65" i="25"/>
  <c r="H65" i="25"/>
  <c r="S65" i="25"/>
  <c r="K65" i="25" s="1"/>
  <c r="H113" i="25"/>
  <c r="AL113" i="25"/>
  <c r="AL19" i="25"/>
  <c r="H19" i="25"/>
  <c r="S19" i="25"/>
  <c r="K19" i="25" s="1"/>
  <c r="AL39" i="25"/>
  <c r="H39" i="25"/>
  <c r="S39" i="25"/>
  <c r="K39" i="25" s="1"/>
  <c r="AL55" i="25"/>
  <c r="H55" i="25"/>
  <c r="S55" i="25"/>
  <c r="K55" i="25" s="1"/>
  <c r="AL71" i="25"/>
  <c r="H71" i="25"/>
  <c r="S71" i="25"/>
  <c r="K71" i="25" s="1"/>
  <c r="AL87" i="25"/>
  <c r="H87" i="25"/>
  <c r="S87" i="25"/>
  <c r="K87" i="25" s="1"/>
  <c r="H122" i="25"/>
  <c r="AL122" i="25"/>
  <c r="H224" i="25"/>
  <c r="AL224" i="25"/>
  <c r="H232" i="25"/>
  <c r="AL232" i="25"/>
  <c r="AL279" i="25"/>
  <c r="H279" i="25"/>
  <c r="AL93" i="25"/>
  <c r="H93" i="25"/>
  <c r="S93" i="25"/>
  <c r="K93" i="25" s="1"/>
  <c r="AL97" i="25"/>
  <c r="H97" i="25"/>
  <c r="S97" i="25"/>
  <c r="K97" i="25" s="1"/>
  <c r="AL101" i="25"/>
  <c r="H101" i="25"/>
  <c r="S101" i="25"/>
  <c r="K101" i="25" s="1"/>
  <c r="AL105" i="25"/>
  <c r="H105" i="25"/>
  <c r="S105" i="25"/>
  <c r="K105" i="25" s="1"/>
  <c r="AL123" i="25"/>
  <c r="H123" i="25"/>
  <c r="AL132" i="25"/>
  <c r="H132" i="25"/>
  <c r="AL140" i="25"/>
  <c r="H140" i="25"/>
  <c r="AL148" i="25"/>
  <c r="H148" i="25"/>
  <c r="AL156" i="25"/>
  <c r="H156" i="25"/>
  <c r="AL164" i="25"/>
  <c r="H164" i="25"/>
  <c r="AL172" i="25"/>
  <c r="H172" i="25"/>
  <c r="AL180" i="25"/>
  <c r="H180" i="25"/>
  <c r="AL188" i="25"/>
  <c r="H188" i="25"/>
  <c r="S188" i="25"/>
  <c r="K188" i="25" s="1"/>
  <c r="AL196" i="25"/>
  <c r="H196" i="25"/>
  <c r="H138" i="25"/>
  <c r="AL138" i="25"/>
  <c r="S138" i="25"/>
  <c r="K138" i="25" s="1"/>
  <c r="H154" i="25"/>
  <c r="AL154" i="25"/>
  <c r="H170" i="25"/>
  <c r="AL170" i="25"/>
  <c r="H186" i="25"/>
  <c r="AL186" i="25"/>
  <c r="H219" i="25"/>
  <c r="AL219" i="25"/>
  <c r="H234" i="25"/>
  <c r="AL234" i="25"/>
  <c r="H242" i="25"/>
  <c r="AL242" i="25"/>
  <c r="H250" i="25"/>
  <c r="AL250" i="25"/>
  <c r="S250" i="25"/>
  <c r="K250" i="25" s="1"/>
  <c r="H258" i="25"/>
  <c r="AL258" i="25"/>
  <c r="S258" i="25"/>
  <c r="K258" i="25" s="1"/>
  <c r="H266" i="25"/>
  <c r="AL266" i="25"/>
  <c r="AL276" i="25"/>
  <c r="H276" i="25"/>
  <c r="S276" i="25"/>
  <c r="K276" i="25" s="1"/>
  <c r="AL135" i="25"/>
  <c r="H135" i="25"/>
  <c r="AL151" i="25"/>
  <c r="H151" i="25"/>
  <c r="AL167" i="25"/>
  <c r="H167" i="25"/>
  <c r="AL183" i="25"/>
  <c r="H183" i="25"/>
  <c r="AL199" i="25"/>
  <c r="H199" i="25"/>
  <c r="S199" i="25"/>
  <c r="K199" i="25" s="1"/>
  <c r="H206" i="25"/>
  <c r="AL206" i="25"/>
  <c r="H226" i="25"/>
  <c r="AL226" i="25"/>
  <c r="AL310" i="25"/>
  <c r="H310" i="25"/>
  <c r="H240" i="25"/>
  <c r="AL240" i="25"/>
  <c r="H256" i="25"/>
  <c r="AL256" i="25"/>
  <c r="H285" i="25"/>
  <c r="AL285" i="25"/>
  <c r="S285" i="25"/>
  <c r="K285" i="25" s="1"/>
  <c r="AL204" i="25"/>
  <c r="H204" i="25"/>
  <c r="H243" i="25"/>
  <c r="AL243" i="25"/>
  <c r="H259" i="25"/>
  <c r="AL259" i="25"/>
  <c r="H296" i="25"/>
  <c r="AL296" i="25"/>
  <c r="AL311" i="25"/>
  <c r="H311" i="25"/>
  <c r="AL281" i="25"/>
  <c r="H281" i="25"/>
  <c r="H295" i="25"/>
  <c r="AL295" i="25"/>
  <c r="H286" i="25"/>
  <c r="AL286" i="25"/>
  <c r="AL302" i="25"/>
  <c r="H302" i="25"/>
  <c r="AL317" i="25"/>
  <c r="H317" i="25"/>
  <c r="AL306" i="25"/>
  <c r="H306" i="25"/>
  <c r="AL18" i="25"/>
  <c r="H18" i="25"/>
  <c r="S18" i="25"/>
  <c r="K18" i="25" s="1"/>
  <c r="AL38" i="25"/>
  <c r="H38" i="25"/>
  <c r="S38" i="25"/>
  <c r="K38" i="25" s="1"/>
  <c r="AL53" i="25"/>
  <c r="H53" i="25"/>
  <c r="S53" i="25"/>
  <c r="K53" i="25" s="1"/>
  <c r="AL24" i="25"/>
  <c r="H24" i="25"/>
  <c r="S24" i="25"/>
  <c r="K24" i="25" s="1"/>
  <c r="AL60" i="25"/>
  <c r="H60" i="25"/>
  <c r="S60" i="25"/>
  <c r="K60" i="25" s="1"/>
  <c r="AL54" i="25"/>
  <c r="H54" i="25"/>
  <c r="S54" i="25"/>
  <c r="K54" i="25" s="1"/>
  <c r="AL90" i="25"/>
  <c r="H90" i="25"/>
  <c r="S90" i="25"/>
  <c r="K90" i="25" s="1"/>
  <c r="AL9" i="25"/>
  <c r="H9" i="25"/>
  <c r="S9" i="25"/>
  <c r="K9" i="25" s="1"/>
  <c r="AL49" i="25"/>
  <c r="H49" i="25"/>
  <c r="S49" i="25"/>
  <c r="K49" i="25" s="1"/>
  <c r="H117" i="25"/>
  <c r="AL117" i="25"/>
  <c r="AL59" i="25"/>
  <c r="H59" i="25"/>
  <c r="S59" i="25"/>
  <c r="K59" i="25" s="1"/>
  <c r="H297" i="25"/>
  <c r="AL297" i="25"/>
  <c r="H126" i="25"/>
  <c r="AL126" i="25"/>
  <c r="H233" i="25"/>
  <c r="AL233" i="25"/>
  <c r="AL94" i="25"/>
  <c r="H94" i="25"/>
  <c r="S94" i="25"/>
  <c r="K94" i="25" s="1"/>
  <c r="AL102" i="25"/>
  <c r="H102" i="25"/>
  <c r="S102" i="25"/>
  <c r="K102" i="25" s="1"/>
  <c r="AL127" i="25"/>
  <c r="H127" i="25"/>
  <c r="H149" i="25"/>
  <c r="AL149" i="25"/>
  <c r="H165" i="25"/>
  <c r="AL165" i="25"/>
  <c r="H181" i="25"/>
  <c r="AL181" i="25"/>
  <c r="H189" i="25"/>
  <c r="AL189" i="25"/>
  <c r="S189" i="25"/>
  <c r="K189" i="25" s="1"/>
  <c r="H142" i="25"/>
  <c r="AL142" i="25"/>
  <c r="H174" i="25"/>
  <c r="AL174" i="25"/>
  <c r="H223" i="25"/>
  <c r="AL223" i="25"/>
  <c r="H245" i="25"/>
  <c r="AL245" i="25"/>
  <c r="H261" i="25"/>
  <c r="AL261" i="25"/>
  <c r="AL280" i="25"/>
  <c r="H280" i="25"/>
  <c r="AL139" i="25"/>
  <c r="H139" i="25"/>
  <c r="AL171" i="25"/>
  <c r="H171" i="25"/>
  <c r="AL209" i="25"/>
  <c r="H209" i="25"/>
  <c r="H230" i="25"/>
  <c r="AL230" i="25"/>
  <c r="H203" i="25"/>
  <c r="AL203" i="25"/>
  <c r="S203" i="25"/>
  <c r="K203" i="25" s="1"/>
  <c r="H244" i="25"/>
  <c r="AL244" i="25"/>
  <c r="H260" i="25"/>
  <c r="AL260" i="25"/>
  <c r="H293" i="25"/>
  <c r="AL293" i="25"/>
  <c r="AL208" i="25"/>
  <c r="H208" i="25"/>
  <c r="H247" i="25"/>
  <c r="AL247" i="25"/>
  <c r="H263" i="25"/>
  <c r="AL263" i="25"/>
  <c r="S263" i="25"/>
  <c r="K263" i="25" s="1"/>
  <c r="AL274" i="25"/>
  <c r="H274" i="25"/>
  <c r="H283" i="25"/>
  <c r="AL283" i="25"/>
  <c r="H299" i="25"/>
  <c r="AL299" i="25"/>
  <c r="S299" i="25"/>
  <c r="K299" i="25" s="1"/>
  <c r="H290" i="25"/>
  <c r="AL290" i="25"/>
  <c r="AL307" i="25"/>
  <c r="H307" i="25"/>
  <c r="AL303" i="25"/>
  <c r="H303" i="25"/>
  <c r="AL308" i="25"/>
  <c r="H308" i="25"/>
  <c r="AL22" i="25"/>
  <c r="H22" i="25"/>
  <c r="S22" i="25"/>
  <c r="K22" i="25" s="1"/>
  <c r="AL35" i="25"/>
  <c r="H35" i="25"/>
  <c r="S35" i="25"/>
  <c r="K35" i="25" s="1"/>
  <c r="AL42" i="25"/>
  <c r="H42" i="25"/>
  <c r="S42" i="25"/>
  <c r="K42" i="25" s="1"/>
  <c r="AL21" i="25"/>
  <c r="H21" i="25"/>
  <c r="S21" i="25"/>
  <c r="K21" i="25" s="1"/>
  <c r="AL69" i="25"/>
  <c r="H69" i="25"/>
  <c r="S69" i="25"/>
  <c r="K69" i="25" s="1"/>
  <c r="AL12" i="25"/>
  <c r="H12" i="25"/>
  <c r="S12" i="25"/>
  <c r="K12" i="25" s="1"/>
  <c r="AL28" i="25"/>
  <c r="H28" i="25"/>
  <c r="S28" i="25"/>
  <c r="K28" i="25" s="1"/>
  <c r="AL48" i="25"/>
  <c r="H48" i="25"/>
  <c r="S48" i="25"/>
  <c r="K48" i="25" s="1"/>
  <c r="AL64" i="25"/>
  <c r="H64" i="25"/>
  <c r="S64" i="25"/>
  <c r="K64" i="25" s="1"/>
  <c r="AL80" i="25"/>
  <c r="H80" i="25"/>
  <c r="S80" i="25"/>
  <c r="K80" i="25" s="1"/>
  <c r="AL62" i="25"/>
  <c r="H62" i="25"/>
  <c r="S62" i="25"/>
  <c r="K62" i="25" s="1"/>
  <c r="AL78" i="25"/>
  <c r="H78" i="25"/>
  <c r="S78" i="25"/>
  <c r="K78" i="25" s="1"/>
  <c r="AL112" i="25"/>
  <c r="H112" i="25"/>
  <c r="S112" i="25"/>
  <c r="K112" i="25" s="1"/>
  <c r="AL6" i="25"/>
  <c r="BR6" i="25"/>
  <c r="H6" i="25"/>
  <c r="S6" i="25"/>
  <c r="K6" i="25" s="1"/>
  <c r="H10" i="25"/>
  <c r="AL10" i="25"/>
  <c r="S10" i="25"/>
  <c r="K10" i="25" s="1"/>
  <c r="AL25" i="25"/>
  <c r="H25" i="25"/>
  <c r="S25" i="25"/>
  <c r="K25" i="25" s="1"/>
  <c r="AL57" i="25"/>
  <c r="H57" i="25"/>
  <c r="S57" i="25"/>
  <c r="K57" i="25" s="1"/>
  <c r="AL77" i="25"/>
  <c r="H77" i="25"/>
  <c r="S77" i="25"/>
  <c r="K77" i="25" s="1"/>
  <c r="H125" i="25"/>
  <c r="AL125" i="25"/>
  <c r="AL27" i="25"/>
  <c r="H27" i="25"/>
  <c r="S27" i="25"/>
  <c r="K27" i="25" s="1"/>
  <c r="AL47" i="25"/>
  <c r="H47" i="25"/>
  <c r="S47" i="25"/>
  <c r="K47" i="25" s="1"/>
  <c r="AL63" i="25"/>
  <c r="H63" i="25"/>
  <c r="S63" i="25"/>
  <c r="K63" i="25" s="1"/>
  <c r="AL79" i="25"/>
  <c r="H79" i="25"/>
  <c r="S79" i="25"/>
  <c r="K79" i="25" s="1"/>
  <c r="H114" i="25"/>
  <c r="AL114" i="25"/>
  <c r="H220" i="25"/>
  <c r="AL220" i="25"/>
  <c r="S220" i="25"/>
  <c r="K220" i="25" s="1"/>
  <c r="H228" i="25"/>
  <c r="AL228" i="25"/>
  <c r="AL271" i="25"/>
  <c r="H271" i="25"/>
  <c r="AL91" i="25"/>
  <c r="H91" i="25"/>
  <c r="S91" i="25"/>
  <c r="K91" i="25" s="1"/>
  <c r="AL95" i="25"/>
  <c r="H95" i="25"/>
  <c r="S95" i="25"/>
  <c r="K95" i="25" s="1"/>
  <c r="AL99" i="25"/>
  <c r="H99" i="25"/>
  <c r="S99" i="25"/>
  <c r="K99" i="25" s="1"/>
  <c r="AL103" i="25"/>
  <c r="H103" i="25"/>
  <c r="S103" i="25"/>
  <c r="K103" i="25" s="1"/>
  <c r="AL115" i="25"/>
  <c r="H115" i="25"/>
  <c r="S115" i="25"/>
  <c r="K115" i="25" s="1"/>
  <c r="AL128" i="25"/>
  <c r="H128" i="25"/>
  <c r="AL136" i="25"/>
  <c r="H136" i="25"/>
  <c r="S136" i="25"/>
  <c r="K136" i="25" s="1"/>
  <c r="AL144" i="25"/>
  <c r="H144" i="25"/>
  <c r="AL152" i="25"/>
  <c r="H152" i="25"/>
  <c r="AL160" i="25"/>
  <c r="H160" i="25"/>
  <c r="S160" i="25"/>
  <c r="K160" i="25" s="1"/>
  <c r="AL168" i="25"/>
  <c r="H168" i="25"/>
  <c r="AL176" i="25"/>
  <c r="H176" i="25"/>
  <c r="AL184" i="25"/>
  <c r="H184" i="25"/>
  <c r="AL192" i="25"/>
  <c r="H192" i="25"/>
  <c r="H130" i="25"/>
  <c r="AL130" i="25"/>
  <c r="H146" i="25"/>
  <c r="AL146" i="25"/>
  <c r="H162" i="25"/>
  <c r="AL162" i="25"/>
  <c r="H178" i="25"/>
  <c r="AL178" i="25"/>
  <c r="S178" i="25"/>
  <c r="K178" i="25" s="1"/>
  <c r="H194" i="25"/>
  <c r="AL194" i="25"/>
  <c r="H227" i="25"/>
  <c r="AL227" i="25"/>
  <c r="H238" i="25"/>
  <c r="AL238" i="25"/>
  <c r="H246" i="25"/>
  <c r="AL246" i="25"/>
  <c r="H254" i="25"/>
  <c r="AL254" i="25"/>
  <c r="H262" i="25"/>
  <c r="AL262" i="25"/>
  <c r="S262" i="25"/>
  <c r="K262" i="25" s="1"/>
  <c r="AL270" i="25"/>
  <c r="H270" i="25"/>
  <c r="H289" i="25"/>
  <c r="AL289" i="25"/>
  <c r="AL143" i="25"/>
  <c r="H143" i="25"/>
  <c r="AL159" i="25"/>
  <c r="H159" i="25"/>
  <c r="AL175" i="25"/>
  <c r="H175" i="25"/>
  <c r="AL191" i="25"/>
  <c r="H191" i="25"/>
  <c r="S191" i="25"/>
  <c r="K191" i="25" s="1"/>
  <c r="H202" i="25"/>
  <c r="AL202" i="25"/>
  <c r="H210" i="25"/>
  <c r="AL210" i="25"/>
  <c r="H284" i="25"/>
  <c r="AL284" i="25"/>
  <c r="S284" i="25"/>
  <c r="K284" i="25" s="1"/>
  <c r="H207" i="25"/>
  <c r="AL207" i="25"/>
  <c r="H248" i="25"/>
  <c r="AL248" i="25"/>
  <c r="H264" i="25"/>
  <c r="AL264" i="25"/>
  <c r="AL301" i="25"/>
  <c r="H301" i="25"/>
  <c r="H235" i="25"/>
  <c r="AL235" i="25"/>
  <c r="S235" i="25"/>
  <c r="K235" i="25" s="1"/>
  <c r="H251" i="25"/>
  <c r="AL251" i="25"/>
  <c r="H267" i="25"/>
  <c r="AL267" i="25"/>
  <c r="AL278" i="25"/>
  <c r="H278" i="25"/>
  <c r="AL273" i="25"/>
  <c r="H273" i="25"/>
  <c r="S273" i="25"/>
  <c r="K273" i="25" s="1"/>
  <c r="H287" i="25"/>
  <c r="AL287" i="25"/>
  <c r="S287" i="25"/>
  <c r="K287" i="25" s="1"/>
  <c r="AL314" i="25"/>
  <c r="H314" i="25"/>
  <c r="S314" i="25"/>
  <c r="K314" i="25" s="1"/>
  <c r="H294" i="25"/>
  <c r="AL294" i="25"/>
  <c r="AL309" i="25"/>
  <c r="H309" i="25"/>
  <c r="AL304" i="25"/>
  <c r="H304" i="25"/>
  <c r="AL312" i="25"/>
  <c r="H312" i="25"/>
  <c r="AL26" i="25"/>
  <c r="H26" i="25"/>
  <c r="S26" i="25"/>
  <c r="K26" i="25" s="1"/>
  <c r="AL36" i="25"/>
  <c r="H36" i="25"/>
  <c r="S36" i="25"/>
  <c r="K36" i="25" s="1"/>
  <c r="AL46" i="25"/>
  <c r="H46" i="25"/>
  <c r="S46" i="25"/>
  <c r="K46" i="25" s="1"/>
  <c r="AL41" i="25"/>
  <c r="H41" i="25"/>
  <c r="S41" i="25"/>
  <c r="K41" i="25" s="1"/>
  <c r="AL81" i="25"/>
  <c r="H81" i="25"/>
  <c r="S81" i="25"/>
  <c r="K81" i="25" s="1"/>
  <c r="AL16" i="25"/>
  <c r="H16" i="25"/>
  <c r="S16" i="25"/>
  <c r="K16" i="25" s="1"/>
  <c r="AL32" i="25"/>
  <c r="H32" i="25"/>
  <c r="S32" i="25"/>
  <c r="K32" i="25" s="1"/>
  <c r="AL52" i="25"/>
  <c r="H52" i="25"/>
  <c r="S52" i="25"/>
  <c r="K52" i="25" s="1"/>
  <c r="AL68" i="25"/>
  <c r="H68" i="25"/>
  <c r="S68" i="25"/>
  <c r="K68" i="25" s="1"/>
  <c r="AL84" i="25"/>
  <c r="H84" i="25"/>
  <c r="S84" i="25"/>
  <c r="K84" i="25" s="1"/>
  <c r="AL66" i="25"/>
  <c r="H66" i="25"/>
  <c r="S66" i="25"/>
  <c r="K66" i="25" s="1"/>
  <c r="AL82" i="25"/>
  <c r="H82" i="25"/>
  <c r="S82" i="25"/>
  <c r="K82" i="25" s="1"/>
  <c r="AL116" i="25"/>
  <c r="H116" i="25"/>
  <c r="S116" i="25"/>
  <c r="K116" i="25" s="1"/>
  <c r="BR7" i="25"/>
  <c r="H7" i="25"/>
  <c r="AL7" i="25"/>
  <c r="S7" i="25"/>
  <c r="K7" i="25" s="1"/>
  <c r="H11" i="25"/>
  <c r="AL11" i="25"/>
  <c r="S11" i="25"/>
  <c r="K11" i="25" s="1"/>
  <c r="AL29" i="25"/>
  <c r="H29" i="25"/>
  <c r="S29" i="25"/>
  <c r="K29" i="25" s="1"/>
  <c r="AL61" i="25"/>
  <c r="H61" i="25"/>
  <c r="S61" i="25"/>
  <c r="K61" i="25" s="1"/>
  <c r="AL85" i="25"/>
  <c r="H85" i="25"/>
  <c r="S85" i="25"/>
  <c r="K85" i="25" s="1"/>
  <c r="AL15" i="25"/>
  <c r="H15" i="25"/>
  <c r="S15" i="25"/>
  <c r="K15" i="25" s="1"/>
  <c r="AL31" i="25"/>
  <c r="H31" i="25"/>
  <c r="S31" i="25"/>
  <c r="K31" i="25" s="1"/>
  <c r="AL51" i="25"/>
  <c r="H51" i="25"/>
  <c r="S51" i="25"/>
  <c r="K51" i="25" s="1"/>
  <c r="AL67" i="25"/>
  <c r="H67" i="25"/>
  <c r="S67" i="25"/>
  <c r="K67" i="25" s="1"/>
  <c r="AL83" i="25"/>
  <c r="H83" i="25"/>
  <c r="S83" i="25"/>
  <c r="K83" i="25" s="1"/>
  <c r="H118" i="25"/>
  <c r="AL118" i="25"/>
  <c r="H221" i="25"/>
  <c r="AL221" i="25"/>
  <c r="H229" i="25"/>
  <c r="AL229" i="25"/>
  <c r="AL275" i="25"/>
  <c r="H275" i="25"/>
  <c r="AL92" i="25"/>
  <c r="H92" i="25"/>
  <c r="S92" i="25"/>
  <c r="K92" i="25" s="1"/>
  <c r="AL96" i="25"/>
  <c r="H96" i="25"/>
  <c r="S96" i="25"/>
  <c r="K96" i="25" s="1"/>
  <c r="AL100" i="25"/>
  <c r="H100" i="25"/>
  <c r="S100" i="25"/>
  <c r="K100" i="25" s="1"/>
  <c r="AL104" i="25"/>
  <c r="H104" i="25"/>
  <c r="S104" i="25"/>
  <c r="K104" i="25" s="1"/>
  <c r="AL119" i="25"/>
  <c r="H119" i="25"/>
  <c r="S119" i="25"/>
  <c r="K119" i="25" s="1"/>
  <c r="H129" i="25"/>
  <c r="AL129" i="25"/>
  <c r="H137" i="25"/>
  <c r="AL137" i="25"/>
  <c r="H145" i="25"/>
  <c r="AL145" i="25"/>
  <c r="H153" i="25"/>
  <c r="AL153" i="25"/>
  <c r="H161" i="25"/>
  <c r="AL161" i="25"/>
  <c r="H169" i="25"/>
  <c r="AL169" i="25"/>
  <c r="S169" i="25"/>
  <c r="K169" i="25" s="1"/>
  <c r="H177" i="25"/>
  <c r="AL177" i="25"/>
  <c r="H185" i="25"/>
  <c r="AL185" i="25"/>
  <c r="H193" i="25"/>
  <c r="AL193" i="25"/>
  <c r="H134" i="25"/>
  <c r="AL134" i="25"/>
  <c r="H150" i="25"/>
  <c r="AL150" i="25"/>
  <c r="H166" i="25"/>
  <c r="AL166" i="25"/>
  <c r="H182" i="25"/>
  <c r="AL182" i="25"/>
  <c r="H198" i="25"/>
  <c r="AL198" i="25"/>
  <c r="H231" i="25"/>
  <c r="AL231" i="25"/>
  <c r="H241" i="25"/>
  <c r="AL241" i="25"/>
  <c r="H249" i="25"/>
  <c r="AL249" i="25"/>
  <c r="H257" i="25"/>
  <c r="AL257" i="25"/>
  <c r="H265" i="25"/>
  <c r="AL265" i="25"/>
  <c r="AL272" i="25"/>
  <c r="H272" i="25"/>
  <c r="AL131" i="25"/>
  <c r="H131" i="25"/>
  <c r="AL147" i="25"/>
  <c r="H147" i="25"/>
  <c r="AL163" i="25"/>
  <c r="H163" i="25"/>
  <c r="S163" i="25"/>
  <c r="K163" i="25" s="1"/>
  <c r="AL179" i="25"/>
  <c r="H179" i="25"/>
  <c r="AL195" i="25"/>
  <c r="H195" i="25"/>
  <c r="AL205" i="25"/>
  <c r="H205" i="25"/>
  <c r="H222" i="25"/>
  <c r="AL222" i="25"/>
  <c r="H300" i="25"/>
  <c r="AL300" i="25"/>
  <c r="H236" i="25"/>
  <c r="AL236" i="25"/>
  <c r="H252" i="25"/>
  <c r="AL252" i="25"/>
  <c r="H268" i="25"/>
  <c r="AL268" i="25"/>
  <c r="AL200" i="25"/>
  <c r="H200" i="25"/>
  <c r="H239" i="25"/>
  <c r="AL239" i="25"/>
  <c r="H255" i="25"/>
  <c r="AL255" i="25"/>
  <c r="H288" i="25"/>
  <c r="AL288" i="25"/>
  <c r="AL282" i="25"/>
  <c r="H282" i="25"/>
  <c r="AL277" i="25"/>
  <c r="H277" i="25"/>
  <c r="H291" i="25"/>
  <c r="AL291" i="25"/>
  <c r="AL315" i="25"/>
  <c r="H315" i="25"/>
  <c r="H298" i="25"/>
  <c r="AL298" i="25"/>
  <c r="AL313" i="25"/>
  <c r="H313" i="25"/>
  <c r="AL305" i="25"/>
  <c r="H305" i="25"/>
  <c r="AL316" i="25"/>
  <c r="H316" i="25"/>
  <c r="B37" i="2"/>
  <c r="B35" i="2"/>
  <c r="J67" i="23"/>
  <c r="L67" i="23" s="1"/>
  <c r="G71" i="23"/>
  <c r="H71" i="23" s="1"/>
  <c r="G17" i="23"/>
  <c r="H17" i="23" s="1"/>
  <c r="G32" i="23"/>
  <c r="H32" i="23" s="1"/>
  <c r="G54" i="23"/>
  <c r="H54" i="23" s="1"/>
  <c r="G101" i="23"/>
  <c r="H101" i="23" s="1"/>
  <c r="G30" i="23"/>
  <c r="H30" i="23" s="1"/>
  <c r="G51" i="23"/>
  <c r="H51" i="23" s="1"/>
  <c r="J103" i="23"/>
  <c r="K103" i="23" s="1"/>
  <c r="G25" i="23"/>
  <c r="H25" i="23" s="1"/>
  <c r="G80" i="23"/>
  <c r="H80" i="23" s="1"/>
  <c r="G21" i="23"/>
  <c r="H21" i="23" s="1"/>
  <c r="G105" i="23"/>
  <c r="H105" i="23" s="1"/>
  <c r="J63" i="23"/>
  <c r="L63" i="23" s="1"/>
  <c r="J88" i="23"/>
  <c r="K88" i="23" s="1"/>
  <c r="J49" i="23"/>
  <c r="K49" i="23" s="1"/>
  <c r="G92" i="23"/>
  <c r="H92" i="23" s="1"/>
  <c r="G22" i="23"/>
  <c r="H22" i="23" s="1"/>
  <c r="J20" i="23"/>
  <c r="L20" i="23" s="1"/>
  <c r="G53" i="23"/>
  <c r="H53" i="23" s="1"/>
  <c r="G73" i="23"/>
  <c r="H73" i="23" s="1"/>
  <c r="G46" i="23"/>
  <c r="H46" i="23" s="1"/>
  <c r="G6" i="23"/>
  <c r="H6" i="23" s="1"/>
  <c r="G94" i="23"/>
  <c r="H94" i="23" s="1"/>
  <c r="G90" i="23"/>
  <c r="H90" i="23" s="1"/>
  <c r="G14" i="23"/>
  <c r="H14" i="23" s="1"/>
  <c r="J60" i="23"/>
  <c r="K60" i="23" s="1"/>
  <c r="J10" i="8"/>
  <c r="B156" i="2" s="1"/>
  <c r="B220" i="2" s="1"/>
  <c r="J84" i="23"/>
  <c r="L84" i="23" s="1"/>
  <c r="G81" i="23"/>
  <c r="H81" i="23" s="1"/>
  <c r="H187" i="24"/>
  <c r="AM187" i="24"/>
  <c r="H125" i="24"/>
  <c r="AM125" i="24"/>
  <c r="H295" i="24"/>
  <c r="AM295" i="24"/>
  <c r="AM243" i="24"/>
  <c r="H243" i="24"/>
  <c r="AM174" i="24"/>
  <c r="H174" i="24"/>
  <c r="H142" i="24"/>
  <c r="AM142" i="24"/>
  <c r="H298" i="24"/>
  <c r="AM298" i="24"/>
  <c r="H266" i="24"/>
  <c r="AM266" i="24"/>
  <c r="H183" i="24"/>
  <c r="AM183" i="24"/>
  <c r="H255" i="24"/>
  <c r="AM255" i="24"/>
  <c r="AM197" i="24"/>
  <c r="H197" i="24"/>
  <c r="AM137" i="24"/>
  <c r="H137" i="24"/>
  <c r="H293" i="24"/>
  <c r="AM293" i="24"/>
  <c r="H261" i="24"/>
  <c r="AM261" i="24"/>
  <c r="H229" i="24"/>
  <c r="AM229" i="24"/>
  <c r="H299" i="24"/>
  <c r="AM299" i="24"/>
  <c r="H128" i="24"/>
  <c r="AM128" i="24"/>
  <c r="H115" i="24"/>
  <c r="AM115" i="24"/>
  <c r="AM161" i="24"/>
  <c r="H161" i="24"/>
  <c r="AM204" i="24"/>
  <c r="H204" i="24"/>
  <c r="AM188" i="24"/>
  <c r="H188" i="24"/>
  <c r="AM156" i="24"/>
  <c r="H156" i="24"/>
  <c r="H296" i="24"/>
  <c r="AM296" i="24"/>
  <c r="H264" i="24"/>
  <c r="AM264" i="24"/>
  <c r="H248" i="24"/>
  <c r="AM248" i="24"/>
  <c r="H117" i="24"/>
  <c r="AM117" i="24"/>
  <c r="H195" i="24"/>
  <c r="AM195" i="24"/>
  <c r="H207" i="24"/>
  <c r="AM207" i="24"/>
  <c r="H147" i="24"/>
  <c r="AM147" i="24"/>
  <c r="H283" i="24"/>
  <c r="AM283" i="24"/>
  <c r="AM227" i="24"/>
  <c r="H227" i="24"/>
  <c r="H186" i="24"/>
  <c r="AM186" i="24"/>
  <c r="AM170" i="24"/>
  <c r="H170" i="24"/>
  <c r="H154" i="24"/>
  <c r="AM154" i="24"/>
  <c r="AM138" i="24"/>
  <c r="H138" i="24"/>
  <c r="AM310" i="24"/>
  <c r="H310" i="24"/>
  <c r="AM294" i="24"/>
  <c r="H294" i="24"/>
  <c r="H278" i="24"/>
  <c r="AM278" i="24"/>
  <c r="AM262" i="24"/>
  <c r="H262" i="24"/>
  <c r="H246" i="24"/>
  <c r="AM246" i="24"/>
  <c r="AM230" i="24"/>
  <c r="H230" i="24"/>
  <c r="AM167" i="24"/>
  <c r="H167" i="24"/>
  <c r="AM291" i="24"/>
  <c r="H291" i="24"/>
  <c r="AM239" i="24"/>
  <c r="H239" i="24"/>
  <c r="AM190" i="24"/>
  <c r="H190" i="24"/>
  <c r="AM185" i="24"/>
  <c r="H185" i="24"/>
  <c r="AM149" i="24"/>
  <c r="H149" i="24"/>
  <c r="H133" i="24"/>
  <c r="AM133" i="24"/>
  <c r="AM305" i="24"/>
  <c r="H305" i="24"/>
  <c r="AM289" i="24"/>
  <c r="H289" i="24"/>
  <c r="H273" i="24"/>
  <c r="AM273" i="24"/>
  <c r="AM257" i="24"/>
  <c r="H257" i="24"/>
  <c r="AM241" i="24"/>
  <c r="H241" i="24"/>
  <c r="AM225" i="24"/>
  <c r="H225" i="24"/>
  <c r="AM159" i="24"/>
  <c r="H159" i="24"/>
  <c r="AM218" i="24"/>
  <c r="H218" i="24"/>
  <c r="AM287" i="24"/>
  <c r="H287" i="24"/>
  <c r="H247" i="24"/>
  <c r="AM247" i="24"/>
  <c r="AM124" i="24"/>
  <c r="H124" i="24"/>
  <c r="H112" i="24"/>
  <c r="AM112" i="24"/>
  <c r="AM205" i="24"/>
  <c r="H205" i="24"/>
  <c r="AM181" i="24"/>
  <c r="H181" i="24"/>
  <c r="H157" i="24"/>
  <c r="AM157" i="24"/>
  <c r="AM118" i="24"/>
  <c r="H118" i="24"/>
  <c r="AM200" i="24"/>
  <c r="H200" i="24"/>
  <c r="AM184" i="24"/>
  <c r="H184" i="24"/>
  <c r="H168" i="24"/>
  <c r="AM168" i="24"/>
  <c r="H152" i="24"/>
  <c r="AM152" i="24"/>
  <c r="AM136" i="24"/>
  <c r="H136" i="24"/>
  <c r="AM308" i="24"/>
  <c r="H308" i="24"/>
  <c r="AM292" i="24"/>
  <c r="H292" i="24"/>
  <c r="AM276" i="24"/>
  <c r="H276" i="24"/>
  <c r="AM260" i="24"/>
  <c r="H260" i="24"/>
  <c r="AM244" i="24"/>
  <c r="H244" i="24"/>
  <c r="H228" i="24"/>
  <c r="AM228" i="24"/>
  <c r="AM113" i="24"/>
  <c r="H113" i="24"/>
  <c r="AM163" i="24"/>
  <c r="H163" i="24"/>
  <c r="H202" i="24"/>
  <c r="AM202" i="24"/>
  <c r="AM158" i="24"/>
  <c r="H158" i="24"/>
  <c r="AM314" i="24"/>
  <c r="H314" i="24"/>
  <c r="H282" i="24"/>
  <c r="AM282" i="24"/>
  <c r="AM250" i="24"/>
  <c r="H250" i="24"/>
  <c r="H234" i="24"/>
  <c r="AM234" i="24"/>
  <c r="H307" i="24"/>
  <c r="AM307" i="24"/>
  <c r="AM198" i="24"/>
  <c r="H198" i="24"/>
  <c r="H153" i="24"/>
  <c r="AM153" i="24"/>
  <c r="H309" i="24"/>
  <c r="AM309" i="24"/>
  <c r="AM277" i="24"/>
  <c r="H277" i="24"/>
  <c r="AM245" i="24"/>
  <c r="H245" i="24"/>
  <c r="AM171" i="24"/>
  <c r="H171" i="24"/>
  <c r="H135" i="24"/>
  <c r="AM135" i="24"/>
  <c r="H259" i="24"/>
  <c r="AM259" i="24"/>
  <c r="H194" i="24"/>
  <c r="AM194" i="24"/>
  <c r="H189" i="24"/>
  <c r="AM189" i="24"/>
  <c r="AM122" i="24"/>
  <c r="H122" i="24"/>
  <c r="H172" i="24"/>
  <c r="AM172" i="24"/>
  <c r="H140" i="24"/>
  <c r="AM140" i="24"/>
  <c r="AM312" i="24"/>
  <c r="H312" i="24"/>
  <c r="AM280" i="24"/>
  <c r="H280" i="24"/>
  <c r="AM232" i="24"/>
  <c r="H232" i="24"/>
  <c r="H199" i="24"/>
  <c r="AM199" i="24"/>
  <c r="AM121" i="24"/>
  <c r="H121" i="24"/>
  <c r="H191" i="24"/>
  <c r="AM191" i="24"/>
  <c r="H131" i="24"/>
  <c r="AM131" i="24"/>
  <c r="AM263" i="24"/>
  <c r="H263" i="24"/>
  <c r="AM111" i="24"/>
  <c r="H111" i="24"/>
  <c r="AM182" i="24"/>
  <c r="H182" i="24"/>
  <c r="H166" i="24"/>
  <c r="AM166" i="24"/>
  <c r="AM150" i="24"/>
  <c r="H150" i="24"/>
  <c r="H134" i="24"/>
  <c r="AM134" i="24"/>
  <c r="AM306" i="24"/>
  <c r="H306" i="24"/>
  <c r="H290" i="24"/>
  <c r="AM290" i="24"/>
  <c r="H274" i="24"/>
  <c r="AM274" i="24"/>
  <c r="H258" i="24"/>
  <c r="AM258" i="24"/>
  <c r="H242" i="24"/>
  <c r="AM242" i="24"/>
  <c r="AM226" i="24"/>
  <c r="H226" i="24"/>
  <c r="AM155" i="24"/>
  <c r="H155" i="24"/>
  <c r="H279" i="24"/>
  <c r="AM279" i="24"/>
  <c r="AM231" i="24"/>
  <c r="H231" i="24"/>
  <c r="AM123" i="24"/>
  <c r="H123" i="24"/>
  <c r="AM173" i="24"/>
  <c r="H173" i="24"/>
  <c r="AM145" i="24"/>
  <c r="H145" i="24"/>
  <c r="AM317" i="24"/>
  <c r="H317" i="24"/>
  <c r="H301" i="24"/>
  <c r="AM301" i="24"/>
  <c r="AM285" i="24"/>
  <c r="H285" i="24"/>
  <c r="AM269" i="24"/>
  <c r="H269" i="24"/>
  <c r="AM253" i="24"/>
  <c r="H253" i="24"/>
  <c r="AM237" i="24"/>
  <c r="H237" i="24"/>
  <c r="AM221" i="24"/>
  <c r="H221" i="24"/>
  <c r="H151" i="24"/>
  <c r="AM151" i="24"/>
  <c r="H315" i="24"/>
  <c r="AM315" i="24"/>
  <c r="H275" i="24"/>
  <c r="AM275" i="24"/>
  <c r="H235" i="24"/>
  <c r="AM235" i="24"/>
  <c r="H210" i="24"/>
  <c r="AM210" i="24"/>
  <c r="H127" i="24"/>
  <c r="AM127" i="24"/>
  <c r="AM201" i="24"/>
  <c r="H201" i="24"/>
  <c r="AM177" i="24"/>
  <c r="H177" i="24"/>
  <c r="H130" i="24"/>
  <c r="AM130" i="24"/>
  <c r="H114" i="24"/>
  <c r="AM114" i="24"/>
  <c r="AM196" i="24"/>
  <c r="H196" i="24"/>
  <c r="AM180" i="24"/>
  <c r="H180" i="24"/>
  <c r="H164" i="24"/>
  <c r="AM164" i="24"/>
  <c r="AM148" i="24"/>
  <c r="H148" i="24"/>
  <c r="H132" i="24"/>
  <c r="AM132" i="24"/>
  <c r="H304" i="24"/>
  <c r="AM304" i="24"/>
  <c r="H288" i="24"/>
  <c r="AM288" i="24"/>
  <c r="AM272" i="24"/>
  <c r="H272" i="24"/>
  <c r="AM256" i="24"/>
  <c r="H256" i="24"/>
  <c r="H240" i="24"/>
  <c r="AM240" i="24"/>
  <c r="H224" i="24"/>
  <c r="AM224" i="24"/>
  <c r="H203" i="24"/>
  <c r="AM203" i="24"/>
  <c r="AM129" i="24"/>
  <c r="H129" i="24"/>
  <c r="H179" i="24"/>
  <c r="AM179" i="24"/>
  <c r="H311" i="24"/>
  <c r="AM311" i="24"/>
  <c r="H251" i="24"/>
  <c r="AM251" i="24"/>
  <c r="H120" i="24"/>
  <c r="AM120" i="24"/>
  <c r="H178" i="24"/>
  <c r="AM178" i="24"/>
  <c r="AM162" i="24"/>
  <c r="H162" i="24"/>
  <c r="H146" i="24"/>
  <c r="AM146" i="24"/>
  <c r="AM219" i="24"/>
  <c r="H219" i="24"/>
  <c r="H302" i="24"/>
  <c r="AM302" i="24"/>
  <c r="AM286" i="24"/>
  <c r="H286" i="24"/>
  <c r="H270" i="24"/>
  <c r="AM270" i="24"/>
  <c r="H254" i="24"/>
  <c r="AM254" i="24"/>
  <c r="AM238" i="24"/>
  <c r="H238" i="24"/>
  <c r="H222" i="24"/>
  <c r="AM222" i="24"/>
  <c r="AM139" i="24"/>
  <c r="H139" i="24"/>
  <c r="AM267" i="24"/>
  <c r="H267" i="24"/>
  <c r="AM116" i="24"/>
  <c r="H116" i="24"/>
  <c r="AM209" i="24"/>
  <c r="H209" i="24"/>
  <c r="AM165" i="24"/>
  <c r="H165" i="24"/>
  <c r="H141" i="24"/>
  <c r="AM141" i="24"/>
  <c r="H313" i="24"/>
  <c r="AM313" i="24"/>
  <c r="AM297" i="24"/>
  <c r="H297" i="24"/>
  <c r="H281" i="24"/>
  <c r="AM281" i="24"/>
  <c r="AM265" i="24"/>
  <c r="H265" i="24"/>
  <c r="AM249" i="24"/>
  <c r="H249" i="24"/>
  <c r="H233" i="24"/>
  <c r="AM233" i="24"/>
  <c r="H175" i="24"/>
  <c r="AM175" i="24"/>
  <c r="H143" i="24"/>
  <c r="AM143" i="24"/>
  <c r="H303" i="24"/>
  <c r="AM303" i="24"/>
  <c r="H271" i="24"/>
  <c r="AM271" i="24"/>
  <c r="AM223" i="24"/>
  <c r="H223" i="24"/>
  <c r="AM206" i="24"/>
  <c r="H206" i="24"/>
  <c r="H119" i="24"/>
  <c r="AM119" i="24"/>
  <c r="H193" i="24"/>
  <c r="AM193" i="24"/>
  <c r="AM169" i="24"/>
  <c r="H169" i="24"/>
  <c r="H126" i="24"/>
  <c r="AM126" i="24"/>
  <c r="AM208" i="24"/>
  <c r="H208" i="24"/>
  <c r="AM192" i="24"/>
  <c r="H192" i="24"/>
  <c r="AM176" i="24"/>
  <c r="H176" i="24"/>
  <c r="H160" i="24"/>
  <c r="AM160" i="24"/>
  <c r="H144" i="24"/>
  <c r="AM144" i="24"/>
  <c r="AM316" i="24"/>
  <c r="H316" i="24"/>
  <c r="AM300" i="24"/>
  <c r="H300" i="24"/>
  <c r="H284" i="24"/>
  <c r="AM284" i="24"/>
  <c r="H268" i="24"/>
  <c r="AM268" i="24"/>
  <c r="H252" i="24"/>
  <c r="AM252" i="24"/>
  <c r="H236" i="24"/>
  <c r="AM236" i="24"/>
  <c r="AM220" i="24"/>
  <c r="H220" i="24"/>
  <c r="G52" i="23"/>
  <c r="H52" i="23" s="1"/>
  <c r="G87" i="23"/>
  <c r="H87" i="23" s="1"/>
  <c r="G47" i="23"/>
  <c r="H47" i="23" s="1"/>
  <c r="G15" i="23"/>
  <c r="H15" i="23" s="1"/>
  <c r="P301" i="24"/>
  <c r="P275" i="24"/>
  <c r="P307" i="24"/>
  <c r="P228" i="24"/>
  <c r="P256" i="24"/>
  <c r="P285" i="24"/>
  <c r="P317" i="24"/>
  <c r="P238" i="24"/>
  <c r="P309" i="24"/>
  <c r="P247" i="24"/>
  <c r="P263" i="24"/>
  <c r="P295" i="24"/>
  <c r="P311" i="24"/>
  <c r="P232" i="24"/>
  <c r="P296" i="24"/>
  <c r="P293" i="24"/>
  <c r="P226" i="24"/>
  <c r="P242" i="24"/>
  <c r="P258" i="24"/>
  <c r="P290" i="24"/>
  <c r="P260" i="24"/>
  <c r="P289" i="24"/>
  <c r="P219" i="24"/>
  <c r="P267" i="24"/>
  <c r="P240" i="24"/>
  <c r="P305" i="24"/>
  <c r="P230" i="24"/>
  <c r="G34" i="23"/>
  <c r="H34" i="23" s="1"/>
  <c r="P218" i="24"/>
  <c r="P234" i="24"/>
  <c r="P250" i="24"/>
  <c r="P266" i="24"/>
  <c r="P314" i="24"/>
  <c r="P276" i="24"/>
  <c r="P304" i="24"/>
  <c r="P241" i="24"/>
  <c r="P227" i="24"/>
  <c r="P243" i="24"/>
  <c r="P259" i="24"/>
  <c r="P291" i="24"/>
  <c r="P288" i="24"/>
  <c r="P221" i="24"/>
  <c r="P253" i="24"/>
  <c r="P270" i="24"/>
  <c r="P302" i="24"/>
  <c r="P252" i="24"/>
  <c r="P284" i="24"/>
  <c r="P312" i="24"/>
  <c r="P249" i="24"/>
  <c r="P231" i="24"/>
  <c r="P279" i="24"/>
  <c r="P264" i="24"/>
  <c r="P229" i="24"/>
  <c r="P261" i="24"/>
  <c r="P294" i="24"/>
  <c r="P282" i="24"/>
  <c r="P298" i="24"/>
  <c r="P244" i="24"/>
  <c r="P273" i="24"/>
  <c r="P222" i="24"/>
  <c r="P254" i="24"/>
  <c r="P286" i="24"/>
  <c r="P281" i="24"/>
  <c r="P257" i="24"/>
  <c r="P278" i="24"/>
  <c r="P310" i="24"/>
  <c r="P236" i="24"/>
  <c r="P297" i="24"/>
  <c r="P223" i="24"/>
  <c r="P287" i="24"/>
  <c r="P303" i="24"/>
  <c r="P248" i="24"/>
  <c r="P245" i="24"/>
  <c r="P277" i="24"/>
  <c r="P313" i="24"/>
  <c r="P274" i="24"/>
  <c r="P306" i="24"/>
  <c r="P220" i="24"/>
  <c r="P292" i="24"/>
  <c r="P225" i="24"/>
  <c r="P235" i="24"/>
  <c r="P251" i="24"/>
  <c r="P283" i="24"/>
  <c r="P299" i="24"/>
  <c r="P315" i="24"/>
  <c r="P272" i="24"/>
  <c r="P308" i="24"/>
  <c r="P237" i="24"/>
  <c r="P269" i="24"/>
  <c r="P246" i="24"/>
  <c r="P262" i="24"/>
  <c r="P268" i="24"/>
  <c r="P300" i="24"/>
  <c r="P233" i="24"/>
  <c r="P265" i="24"/>
  <c r="P239" i="24"/>
  <c r="P255" i="24"/>
  <c r="P271" i="24"/>
  <c r="P224" i="24"/>
  <c r="P280" i="24"/>
  <c r="P316" i="24"/>
  <c r="AM104" i="24"/>
  <c r="AM40" i="24"/>
  <c r="AM95" i="24"/>
  <c r="AM31" i="24"/>
  <c r="AM81" i="24"/>
  <c r="AM58" i="24"/>
  <c r="AM10" i="24"/>
  <c r="AM65" i="24"/>
  <c r="AM100" i="24"/>
  <c r="AM36" i="24"/>
  <c r="AM37" i="24"/>
  <c r="AM43" i="24"/>
  <c r="AM69" i="24"/>
  <c r="AM54" i="24"/>
  <c r="AM22" i="24"/>
  <c r="AM85" i="24"/>
  <c r="AM49" i="24"/>
  <c r="AM25" i="24"/>
  <c r="AM9" i="24"/>
  <c r="AM92" i="24"/>
  <c r="AM76" i="24"/>
  <c r="AM60" i="24"/>
  <c r="AM44" i="24"/>
  <c r="AM28" i="24"/>
  <c r="AM12" i="24"/>
  <c r="AM73" i="24"/>
  <c r="AM99" i="24"/>
  <c r="AM83" i="24"/>
  <c r="AM67" i="24"/>
  <c r="AM51" i="24"/>
  <c r="AM35" i="24"/>
  <c r="AM19" i="24"/>
  <c r="AM93" i="24"/>
  <c r="AM41" i="24"/>
  <c r="AM94" i="24"/>
  <c r="AM78" i="24"/>
  <c r="AM62" i="24"/>
  <c r="AM46" i="24"/>
  <c r="AM30" i="24"/>
  <c r="AM14" i="24"/>
  <c r="AM77" i="24"/>
  <c r="AM88" i="24"/>
  <c r="AM56" i="24"/>
  <c r="AM61" i="24"/>
  <c r="AM63" i="24"/>
  <c r="AM42" i="24"/>
  <c r="AM17" i="24"/>
  <c r="AM68" i="24"/>
  <c r="AM101" i="24"/>
  <c r="AM75" i="24"/>
  <c r="AM11" i="24"/>
  <c r="AM70" i="24"/>
  <c r="AM45" i="24"/>
  <c r="AM21" i="24"/>
  <c r="AM72" i="24"/>
  <c r="AM24" i="24"/>
  <c r="AM8" i="24"/>
  <c r="AM79" i="24"/>
  <c r="AM47" i="24"/>
  <c r="AM15" i="24"/>
  <c r="AM90" i="24"/>
  <c r="AM74" i="24"/>
  <c r="AM26" i="24"/>
  <c r="AM105" i="24"/>
  <c r="AM33" i="24"/>
  <c r="AM84" i="24"/>
  <c r="AM52" i="24"/>
  <c r="AM20" i="24"/>
  <c r="AM91" i="24"/>
  <c r="AM59" i="24"/>
  <c r="AM27" i="24"/>
  <c r="AM102" i="24"/>
  <c r="AM86" i="24"/>
  <c r="AM38" i="24"/>
  <c r="AM6" i="24"/>
  <c r="AM97" i="24"/>
  <c r="AM57" i="24"/>
  <c r="AM29" i="24"/>
  <c r="AM13" i="24"/>
  <c r="AM96" i="24"/>
  <c r="AM80" i="24"/>
  <c r="AM64" i="24"/>
  <c r="AM48" i="24"/>
  <c r="AM32" i="24"/>
  <c r="AM16" i="24"/>
  <c r="AM89" i="24"/>
  <c r="AM103" i="24"/>
  <c r="AM87" i="24"/>
  <c r="AM71" i="24"/>
  <c r="AM55" i="24"/>
  <c r="AM39" i="24"/>
  <c r="AM23" i="24"/>
  <c r="AM7" i="24"/>
  <c r="AM53" i="24"/>
  <c r="AM98" i="24"/>
  <c r="AM82" i="24"/>
  <c r="AM66" i="24"/>
  <c r="AM50" i="24"/>
  <c r="AM34" i="24"/>
  <c r="AM18" i="24"/>
  <c r="Q34" i="23"/>
  <c r="Q44" i="23"/>
  <c r="Q106" i="23"/>
  <c r="Q14" i="23"/>
  <c r="Q81" i="23"/>
  <c r="Q91" i="23"/>
  <c r="Q6" i="23"/>
  <c r="Q48" i="23"/>
  <c r="Q82" i="23"/>
  <c r="Q93" i="23"/>
  <c r="Q22" i="23"/>
  <c r="Q99" i="23"/>
  <c r="Q42" i="23"/>
  <c r="Q35" i="23"/>
  <c r="H49" i="24"/>
  <c r="H92" i="24"/>
  <c r="H28" i="24"/>
  <c r="H67" i="24"/>
  <c r="H19" i="24"/>
  <c r="H94" i="24"/>
  <c r="H46" i="24"/>
  <c r="H30" i="24"/>
  <c r="Q9" i="23"/>
  <c r="Q78" i="23"/>
  <c r="Q75" i="23"/>
  <c r="Q88" i="23"/>
  <c r="Q63" i="23"/>
  <c r="Q101" i="23"/>
  <c r="Q29" i="23"/>
  <c r="Q98" i="23"/>
  <c r="Q19" i="23"/>
  <c r="Q12" i="23"/>
  <c r="Q89" i="23"/>
  <c r="Q33" i="23"/>
  <c r="Q38" i="23"/>
  <c r="Q102" i="23"/>
  <c r="Q27" i="23"/>
  <c r="Q95" i="23"/>
  <c r="Q37" i="23"/>
  <c r="Q58" i="23"/>
  <c r="Q7" i="23"/>
  <c r="Q28" i="23"/>
  <c r="Q47" i="23"/>
  <c r="J24" i="23"/>
  <c r="K24" i="23" s="1"/>
  <c r="J97" i="23"/>
  <c r="K97" i="23" s="1"/>
  <c r="H77" i="24"/>
  <c r="H45" i="24"/>
  <c r="H21" i="24"/>
  <c r="H104" i="24"/>
  <c r="H88" i="24"/>
  <c r="H72" i="24"/>
  <c r="H56" i="24"/>
  <c r="H40" i="24"/>
  <c r="H24" i="24"/>
  <c r="H8" i="24"/>
  <c r="H61" i="24"/>
  <c r="H95" i="24"/>
  <c r="H79" i="24"/>
  <c r="H63" i="24"/>
  <c r="H47" i="24"/>
  <c r="H31" i="24"/>
  <c r="H15" i="24"/>
  <c r="H81" i="24"/>
  <c r="H5" i="24"/>
  <c r="BY5" i="24" s="1"/>
  <c r="H90" i="24"/>
  <c r="H74" i="24"/>
  <c r="H58" i="24"/>
  <c r="H42" i="24"/>
  <c r="H26" i="24"/>
  <c r="H10" i="24"/>
  <c r="Q23" i="23"/>
  <c r="Q59" i="23"/>
  <c r="Q13" i="23"/>
  <c r="Q76" i="23"/>
  <c r="Q17" i="23"/>
  <c r="Q96" i="23"/>
  <c r="Q21" i="23"/>
  <c r="Q87" i="23"/>
  <c r="H25" i="24"/>
  <c r="H76" i="24"/>
  <c r="H12" i="24"/>
  <c r="H99" i="24"/>
  <c r="H35" i="24"/>
  <c r="H41" i="24"/>
  <c r="H62" i="24"/>
  <c r="H14" i="24"/>
  <c r="Q94" i="23"/>
  <c r="Q71" i="23"/>
  <c r="Q84" i="23"/>
  <c r="Q24" i="23"/>
  <c r="Q97" i="23"/>
  <c r="Q54" i="23"/>
  <c r="Q103" i="23"/>
  <c r="Q20" i="23"/>
  <c r="Q31" i="23"/>
  <c r="Q10" i="23"/>
  <c r="Q40" i="23"/>
  <c r="Q64" i="23"/>
  <c r="Q61" i="23"/>
  <c r="Q57" i="23"/>
  <c r="H105" i="24"/>
  <c r="H65" i="24"/>
  <c r="H33" i="24"/>
  <c r="H17" i="24"/>
  <c r="H100" i="24"/>
  <c r="H84" i="24"/>
  <c r="H68" i="24"/>
  <c r="H52" i="24"/>
  <c r="H36" i="24"/>
  <c r="H20" i="24"/>
  <c r="H101" i="24"/>
  <c r="H37" i="24"/>
  <c r="H91" i="24"/>
  <c r="H75" i="24"/>
  <c r="H59" i="24"/>
  <c r="H43" i="24"/>
  <c r="H27" i="24"/>
  <c r="H11" i="24"/>
  <c r="H69" i="24"/>
  <c r="H102" i="24"/>
  <c r="H86" i="24"/>
  <c r="H70" i="24"/>
  <c r="H54" i="24"/>
  <c r="H38" i="24"/>
  <c r="H22" i="24"/>
  <c r="H6" i="24"/>
  <c r="Q62" i="23"/>
  <c r="Q67" i="23"/>
  <c r="Q36" i="23"/>
  <c r="Q85" i="23"/>
  <c r="Q68" i="23"/>
  <c r="Q86" i="23"/>
  <c r="Q73" i="23"/>
  <c r="Q104" i="23"/>
  <c r="Q100" i="23"/>
  <c r="H85" i="24"/>
  <c r="H9" i="24"/>
  <c r="H60" i="24"/>
  <c r="H44" i="24"/>
  <c r="H73" i="24"/>
  <c r="H83" i="24"/>
  <c r="H51" i="24"/>
  <c r="H93" i="24"/>
  <c r="H78" i="24"/>
  <c r="Q25" i="23"/>
  <c r="Q30" i="23"/>
  <c r="Q11" i="23"/>
  <c r="Q45" i="23"/>
  <c r="Q50" i="23"/>
  <c r="Q51" i="23"/>
  <c r="Q15" i="23"/>
  <c r="Q49" i="23"/>
  <c r="Q32" i="23"/>
  <c r="Q56" i="23"/>
  <c r="Q74" i="23"/>
  <c r="G82" i="23"/>
  <c r="H82" i="23" s="1"/>
  <c r="G102" i="23"/>
  <c r="H102" i="23" s="1"/>
  <c r="G13" i="23"/>
  <c r="H13" i="23" s="1"/>
  <c r="G104" i="23"/>
  <c r="H104" i="23" s="1"/>
  <c r="Q41" i="23"/>
  <c r="Q46" i="23"/>
  <c r="Q16" i="23"/>
  <c r="Q92" i="23"/>
  <c r="Q43" i="23"/>
  <c r="Q105" i="23"/>
  <c r="Q18" i="23"/>
  <c r="Q66" i="23"/>
  <c r="Q55" i="23"/>
  <c r="Q39" i="23"/>
  <c r="Q72" i="23"/>
  <c r="Q69" i="23"/>
  <c r="Q70" i="23"/>
  <c r="Q60" i="23"/>
  <c r="Q53" i="23"/>
  <c r="Q77" i="23"/>
  <c r="Q52" i="23"/>
  <c r="Q80" i="23"/>
  <c r="Q26" i="23"/>
  <c r="Q90" i="23"/>
  <c r="Q65" i="23"/>
  <c r="Q8" i="23"/>
  <c r="Q83" i="23"/>
  <c r="Q79" i="23"/>
  <c r="H97" i="24"/>
  <c r="H57" i="24"/>
  <c r="H29" i="24"/>
  <c r="H13" i="24"/>
  <c r="H96" i="24"/>
  <c r="H80" i="24"/>
  <c r="H64" i="24"/>
  <c r="H48" i="24"/>
  <c r="H32" i="24"/>
  <c r="H16" i="24"/>
  <c r="H89" i="24"/>
  <c r="H103" i="24"/>
  <c r="H87" i="24"/>
  <c r="H71" i="24"/>
  <c r="H55" i="24"/>
  <c r="H39" i="24"/>
  <c r="H23" i="24"/>
  <c r="H7" i="24"/>
  <c r="H53" i="24"/>
  <c r="H98" i="24"/>
  <c r="H82" i="24"/>
  <c r="H66" i="24"/>
  <c r="H50" i="24"/>
  <c r="H34" i="24"/>
  <c r="H18" i="24"/>
  <c r="G85" i="23"/>
  <c r="H85" i="23" s="1"/>
  <c r="J83" i="23"/>
  <c r="L83" i="23" s="1"/>
  <c r="G12" i="23"/>
  <c r="H12" i="23" s="1"/>
  <c r="J65" i="23"/>
  <c r="L65" i="23" s="1"/>
  <c r="G61" i="23"/>
  <c r="H61" i="23" s="1"/>
  <c r="J58" i="23"/>
  <c r="L58" i="23" s="1"/>
  <c r="J100" i="23"/>
  <c r="K100" i="23" s="1"/>
  <c r="G26" i="23"/>
  <c r="H26" i="23" s="1"/>
  <c r="G91" i="23"/>
  <c r="H91" i="23" s="1"/>
  <c r="G40" i="23"/>
  <c r="H40" i="23" s="1"/>
  <c r="G55" i="23"/>
  <c r="H55" i="23" s="1"/>
  <c r="J74" i="23"/>
  <c r="L74" i="23" s="1"/>
  <c r="G35" i="23"/>
  <c r="H35" i="23" s="1"/>
  <c r="G68" i="23"/>
  <c r="H68" i="23" s="1"/>
  <c r="G29" i="23"/>
  <c r="H29" i="23" s="1"/>
  <c r="J72" i="23"/>
  <c r="K72" i="23" s="1"/>
  <c r="G45" i="23"/>
  <c r="H45" i="23" s="1"/>
  <c r="J66" i="23"/>
  <c r="L66" i="23" s="1"/>
  <c r="J95" i="23"/>
  <c r="K95" i="23" s="1"/>
  <c r="J93" i="23"/>
  <c r="L93" i="23" s="1"/>
  <c r="J42" i="23"/>
  <c r="L42" i="23" s="1"/>
  <c r="J57" i="23"/>
  <c r="K57" i="23" s="1"/>
  <c r="G37" i="23"/>
  <c r="H37" i="23" s="1"/>
  <c r="G50" i="23"/>
  <c r="H50" i="23" s="1"/>
  <c r="G64" i="23"/>
  <c r="H64" i="23" s="1"/>
  <c r="G18" i="23"/>
  <c r="H18" i="23" s="1"/>
  <c r="G10" i="23"/>
  <c r="H10" i="23" s="1"/>
  <c r="G28" i="23"/>
  <c r="H28" i="23" s="1"/>
  <c r="G8" i="23"/>
  <c r="H8" i="23" s="1"/>
  <c r="G19" i="23"/>
  <c r="H19" i="23" s="1"/>
  <c r="K26" i="23"/>
  <c r="L26" i="23"/>
  <c r="K44" i="23"/>
  <c r="L44" i="23"/>
  <c r="K102" i="23"/>
  <c r="L102" i="23"/>
  <c r="L56" i="23"/>
  <c r="K56" i="23"/>
  <c r="L35" i="23"/>
  <c r="K35" i="23"/>
  <c r="K13" i="23"/>
  <c r="L13" i="23"/>
  <c r="K30" i="23"/>
  <c r="L30" i="23"/>
  <c r="K73" i="23"/>
  <c r="L73" i="23"/>
  <c r="L16" i="23"/>
  <c r="K16" i="23"/>
  <c r="L43" i="23"/>
  <c r="K43" i="23"/>
  <c r="K33" i="23"/>
  <c r="L33" i="23"/>
  <c r="K92" i="23"/>
  <c r="L92" i="23"/>
  <c r="L59" i="23"/>
  <c r="K59" i="23"/>
  <c r="L104" i="23"/>
  <c r="K104" i="23"/>
  <c r="L47" i="23"/>
  <c r="K47" i="23"/>
  <c r="K45" i="23"/>
  <c r="L45" i="23"/>
  <c r="K101" i="23"/>
  <c r="L101" i="23"/>
  <c r="K37" i="23"/>
  <c r="L37" i="23"/>
  <c r="L79" i="23"/>
  <c r="K79" i="23"/>
  <c r="K22" i="23"/>
  <c r="L22" i="23"/>
  <c r="L12" i="23"/>
  <c r="K12" i="23"/>
  <c r="L39" i="23"/>
  <c r="K39" i="23"/>
  <c r="K21" i="23"/>
  <c r="L21" i="23"/>
  <c r="L75" i="23"/>
  <c r="K75" i="23"/>
  <c r="K17" i="23"/>
  <c r="L17" i="23"/>
  <c r="L71" i="23"/>
  <c r="K71" i="23"/>
  <c r="K69" i="23"/>
  <c r="L69" i="23"/>
  <c r="K9" i="23"/>
  <c r="L9" i="23"/>
  <c r="K29" i="23"/>
  <c r="L29" i="23"/>
  <c r="K14" i="23"/>
  <c r="L14" i="23"/>
  <c r="K53" i="23"/>
  <c r="L53" i="23"/>
  <c r="L55" i="23"/>
  <c r="K55" i="23"/>
  <c r="L51" i="23"/>
  <c r="K51" i="23"/>
  <c r="K41" i="23"/>
  <c r="L41" i="23"/>
  <c r="L96" i="23"/>
  <c r="K96" i="23"/>
  <c r="K82" i="23"/>
  <c r="L82" i="23"/>
  <c r="K50" i="23"/>
  <c r="L50" i="23"/>
  <c r="L6" i="23"/>
  <c r="K6" i="23"/>
  <c r="K61" i="23"/>
  <c r="L61" i="23"/>
  <c r="L7" i="23"/>
  <c r="K7" i="23"/>
  <c r="L87" i="23"/>
  <c r="K87" i="23"/>
  <c r="K85" i="23"/>
  <c r="L85" i="23"/>
  <c r="K25" i="23"/>
  <c r="L25" i="23"/>
  <c r="L91" i="23"/>
  <c r="K91" i="23"/>
  <c r="K38" i="23"/>
  <c r="L38" i="23"/>
  <c r="K81" i="23"/>
  <c r="L81" i="23"/>
  <c r="L31" i="23"/>
  <c r="K31" i="23"/>
  <c r="K106" i="23"/>
  <c r="L106" i="23"/>
  <c r="L80" i="23"/>
  <c r="K80" i="23"/>
  <c r="L8" i="23"/>
  <c r="K8" i="23"/>
  <c r="K54" i="23"/>
  <c r="L54" i="23"/>
  <c r="K28" i="23"/>
  <c r="L28" i="23"/>
  <c r="K70" i="23"/>
  <c r="L70" i="23"/>
  <c r="L40" i="23"/>
  <c r="K40" i="23"/>
  <c r="L19" i="23"/>
  <c r="K19" i="23"/>
  <c r="K78" i="23"/>
  <c r="L78" i="23"/>
  <c r="K68" i="23"/>
  <c r="L68" i="23"/>
  <c r="L15" i="23"/>
  <c r="K15" i="23"/>
  <c r="L64" i="23"/>
  <c r="K64" i="23"/>
  <c r="L27" i="23"/>
  <c r="K27" i="23"/>
  <c r="K76" i="23"/>
  <c r="L76" i="23"/>
  <c r="L99" i="23"/>
  <c r="K99" i="23"/>
  <c r="K46" i="23"/>
  <c r="L46" i="23"/>
  <c r="K89" i="23"/>
  <c r="L89" i="23"/>
  <c r="K94" i="23"/>
  <c r="L94" i="23"/>
  <c r="K52" i="23"/>
  <c r="L52" i="23"/>
  <c r="L48" i="23"/>
  <c r="K48" i="23"/>
  <c r="L11" i="23"/>
  <c r="K11" i="23"/>
  <c r="K62" i="23"/>
  <c r="L62" i="23"/>
  <c r="L23" i="23"/>
  <c r="K23" i="23"/>
  <c r="K86" i="23"/>
  <c r="L86" i="23"/>
  <c r="K10" i="23"/>
  <c r="L10" i="23"/>
  <c r="K36" i="23"/>
  <c r="L36" i="23"/>
  <c r="K105" i="23"/>
  <c r="L105" i="23"/>
  <c r="L32" i="23"/>
  <c r="K32" i="23"/>
  <c r="K18" i="23"/>
  <c r="L18" i="23"/>
  <c r="K98" i="23"/>
  <c r="L98" i="23"/>
  <c r="K90" i="23"/>
  <c r="L90" i="23"/>
  <c r="K34" i="23"/>
  <c r="L34" i="23"/>
  <c r="C230" i="2"/>
  <c r="B230" i="2"/>
  <c r="B146" i="2"/>
  <c r="A189" i="2"/>
  <c r="F230" i="2"/>
  <c r="B231" i="2"/>
  <c r="H231" i="2"/>
  <c r="C44" i="16" s="1"/>
  <c r="F143" i="2"/>
  <c r="E38" i="1" s="1"/>
  <c r="A190" i="2" s="1"/>
  <c r="G143" i="2"/>
  <c r="G231" i="2"/>
  <c r="C231" i="2"/>
  <c r="A231" i="2" s="1"/>
  <c r="B145" i="2"/>
  <c r="AO2" i="19"/>
  <c r="H234" i="2"/>
  <c r="F234" i="2"/>
  <c r="K49" i="16"/>
  <c r="M49" i="16" s="1"/>
  <c r="B196" i="2"/>
  <c r="A196" i="2"/>
  <c r="A2" i="21"/>
  <c r="K48" i="2"/>
  <c r="G89" i="19"/>
  <c r="G64" i="19"/>
  <c r="G65" i="19"/>
  <c r="G90" i="19"/>
  <c r="G91" i="19"/>
  <c r="AY106" i="19"/>
  <c r="G66" i="19"/>
  <c r="BN106" i="19"/>
  <c r="Q194" i="24" l="1"/>
  <c r="S270" i="25"/>
  <c r="K270" i="25" s="1"/>
  <c r="R253" i="25"/>
  <c r="R301" i="25"/>
  <c r="S232" i="25"/>
  <c r="K232" i="25" s="1"/>
  <c r="S121" i="25"/>
  <c r="K121" i="25" s="1"/>
  <c r="Q288" i="25"/>
  <c r="R234" i="25"/>
  <c r="Q270" i="25"/>
  <c r="Q280" i="25"/>
  <c r="R197" i="25"/>
  <c r="R244" i="25"/>
  <c r="S317" i="25"/>
  <c r="K317" i="25" s="1"/>
  <c r="Q317" i="25"/>
  <c r="S265" i="25"/>
  <c r="K265" i="25" s="1"/>
  <c r="CD33" i="24"/>
  <c r="CD7" i="24"/>
  <c r="CE55" i="24"/>
  <c r="CD23" i="24"/>
  <c r="CD99" i="24"/>
  <c r="CE43" i="24"/>
  <c r="CD12" i="24"/>
  <c r="CE12" i="24"/>
  <c r="CD34" i="24"/>
  <c r="CD15" i="24"/>
  <c r="CE28" i="24"/>
  <c r="S120" i="25"/>
  <c r="K120" i="25" s="1"/>
  <c r="AD120" i="25" s="1"/>
  <c r="AE120" i="25" s="1"/>
  <c r="R288" i="25"/>
  <c r="Q277" i="25"/>
  <c r="R280" i="25"/>
  <c r="S279" i="25"/>
  <c r="K279" i="25" s="1"/>
  <c r="Q265" i="25"/>
  <c r="R277" i="25"/>
  <c r="Q303" i="25"/>
  <c r="Q279" i="25"/>
  <c r="S303" i="25"/>
  <c r="K303" i="25" s="1"/>
  <c r="AD303" i="25" s="1"/>
  <c r="AE303" i="25" s="1"/>
  <c r="S234" i="25"/>
  <c r="K234" i="25" s="1"/>
  <c r="Q232" i="25"/>
  <c r="Q226" i="25"/>
  <c r="R186" i="25"/>
  <c r="S301" i="25"/>
  <c r="K301" i="25" s="1"/>
  <c r="AD301" i="25" s="1"/>
  <c r="AE301" i="25" s="1"/>
  <c r="S244" i="25"/>
  <c r="K244" i="25" s="1"/>
  <c r="AD244" i="25" s="1"/>
  <c r="AE244" i="25" s="1"/>
  <c r="R226" i="25"/>
  <c r="S253" i="25"/>
  <c r="K253" i="25" s="1"/>
  <c r="AD253" i="25" s="1"/>
  <c r="AE253" i="25" s="1"/>
  <c r="R129" i="25"/>
  <c r="S251" i="25"/>
  <c r="K251" i="25" s="1"/>
  <c r="W251" i="25" s="1"/>
  <c r="Z251" i="25" s="1"/>
  <c r="AA251" i="25" s="1"/>
  <c r="R261" i="25"/>
  <c r="R318" i="25"/>
  <c r="R295" i="25"/>
  <c r="S278" i="25"/>
  <c r="K278" i="25" s="1"/>
  <c r="V278" i="25" s="1"/>
  <c r="S243" i="25"/>
  <c r="K243" i="25" s="1"/>
  <c r="W243" i="25" s="1"/>
  <c r="Z243" i="25" s="1"/>
  <c r="AA243" i="25" s="1"/>
  <c r="AB243" i="25" s="1"/>
  <c r="R241" i="25"/>
  <c r="Q219" i="25"/>
  <c r="R249" i="25"/>
  <c r="R227" i="25"/>
  <c r="R251" i="25"/>
  <c r="S152" i="25"/>
  <c r="K152" i="25" s="1"/>
  <c r="W152" i="25" s="1"/>
  <c r="Z152" i="25" s="1"/>
  <c r="AA152" i="25" s="1"/>
  <c r="S206" i="25"/>
  <c r="K206" i="25" s="1"/>
  <c r="V206" i="25" s="1"/>
  <c r="S140" i="25"/>
  <c r="K140" i="25" s="1"/>
  <c r="V140" i="25" s="1"/>
  <c r="R152" i="25"/>
  <c r="S204" i="25"/>
  <c r="K204" i="25" s="1"/>
  <c r="AD204" i="25" s="1"/>
  <c r="AE204" i="25" s="1"/>
  <c r="S159" i="25"/>
  <c r="K159" i="25" s="1"/>
  <c r="V159" i="25" s="1"/>
  <c r="S177" i="25"/>
  <c r="K177" i="25" s="1"/>
  <c r="V177" i="25" s="1"/>
  <c r="S153" i="25"/>
  <c r="K153" i="25" s="1"/>
  <c r="W153" i="25" s="1"/>
  <c r="Z153" i="25" s="1"/>
  <c r="AA153" i="25" s="1"/>
  <c r="AB153" i="25" s="1"/>
  <c r="S149" i="25"/>
  <c r="K149" i="25" s="1"/>
  <c r="V149" i="25" s="1"/>
  <c r="Q221" i="25"/>
  <c r="R196" i="25"/>
  <c r="S271" i="25"/>
  <c r="K271" i="25" s="1"/>
  <c r="V271" i="25" s="1"/>
  <c r="S117" i="25"/>
  <c r="K117" i="25" s="1"/>
  <c r="W117" i="25" s="1"/>
  <c r="Z117" i="25" s="1"/>
  <c r="AA117" i="25" s="1"/>
  <c r="Q275" i="25"/>
  <c r="Q309" i="25"/>
  <c r="Q236" i="25"/>
  <c r="Q122" i="25"/>
  <c r="R121" i="25"/>
  <c r="Q182" i="25"/>
  <c r="Q114" i="24"/>
  <c r="Q169" i="24"/>
  <c r="Q148" i="24"/>
  <c r="S129" i="25"/>
  <c r="K129" i="25" s="1"/>
  <c r="AD129" i="25" s="1"/>
  <c r="AE129" i="25" s="1"/>
  <c r="Q145" i="25"/>
  <c r="Q189" i="24"/>
  <c r="Q122" i="24"/>
  <c r="S186" i="25"/>
  <c r="K186" i="25" s="1"/>
  <c r="AD186" i="25" s="1"/>
  <c r="AE186" i="25" s="1"/>
  <c r="Q157" i="25"/>
  <c r="Q175" i="24"/>
  <c r="S151" i="25"/>
  <c r="K151" i="25" s="1"/>
  <c r="AD151" i="25" s="1"/>
  <c r="AE151" i="25" s="1"/>
  <c r="S157" i="25"/>
  <c r="K157" i="25" s="1"/>
  <c r="AD157" i="25" s="1"/>
  <c r="AE157" i="25" s="1"/>
  <c r="Q170" i="25"/>
  <c r="Q120" i="25"/>
  <c r="S182" i="25"/>
  <c r="K182" i="25" s="1"/>
  <c r="V182" i="25" s="1"/>
  <c r="S145" i="25"/>
  <c r="K145" i="25" s="1"/>
  <c r="AD145" i="25" s="1"/>
  <c r="AE145" i="25" s="1"/>
  <c r="Q200" i="24"/>
  <c r="Q171" i="24"/>
  <c r="Q204" i="24"/>
  <c r="S170" i="25"/>
  <c r="K170" i="25" s="1"/>
  <c r="AD170" i="25" s="1"/>
  <c r="AE170" i="25" s="1"/>
  <c r="S197" i="25"/>
  <c r="K197" i="25" s="1"/>
  <c r="AD197" i="25" s="1"/>
  <c r="AE197" i="25" s="1"/>
  <c r="Q151" i="25"/>
  <c r="Q159" i="24"/>
  <c r="Q170" i="24"/>
  <c r="S249" i="25"/>
  <c r="K249" i="25" s="1"/>
  <c r="V249" i="25" s="1"/>
  <c r="S260" i="25"/>
  <c r="K260" i="25" s="1"/>
  <c r="AD260" i="25" s="1"/>
  <c r="AE260" i="25" s="1"/>
  <c r="S306" i="25"/>
  <c r="K306" i="25" s="1"/>
  <c r="AD306" i="25" s="1"/>
  <c r="AE306" i="25" s="1"/>
  <c r="S286" i="25"/>
  <c r="K286" i="25" s="1"/>
  <c r="S256" i="25"/>
  <c r="K256" i="25" s="1"/>
  <c r="V256" i="25" s="1"/>
  <c r="Q306" i="25"/>
  <c r="R219" i="25"/>
  <c r="Q225" i="25"/>
  <c r="R143" i="25"/>
  <c r="Q140" i="25"/>
  <c r="Q136" i="24"/>
  <c r="CE95" i="24"/>
  <c r="Q295" i="25"/>
  <c r="Q241" i="25"/>
  <c r="Q227" i="25"/>
  <c r="Q318" i="25"/>
  <c r="R225" i="25"/>
  <c r="P197" i="24"/>
  <c r="Q190" i="24"/>
  <c r="S205" i="25"/>
  <c r="K205" i="25" s="1"/>
  <c r="V205" i="25" s="1"/>
  <c r="S229" i="25"/>
  <c r="K229" i="25" s="1"/>
  <c r="V229" i="25" s="1"/>
  <c r="R294" i="25"/>
  <c r="Q243" i="25"/>
  <c r="Q278" i="25"/>
  <c r="Q260" i="25"/>
  <c r="Q259" i="25"/>
  <c r="Q229" i="25"/>
  <c r="Q204" i="25"/>
  <c r="S261" i="25"/>
  <c r="K261" i="25" s="1"/>
  <c r="V261" i="25" s="1"/>
  <c r="S259" i="25"/>
  <c r="K259" i="25" s="1"/>
  <c r="V259" i="25" s="1"/>
  <c r="S180" i="25"/>
  <c r="K180" i="25" s="1"/>
  <c r="V180" i="25" s="1"/>
  <c r="Q256" i="25"/>
  <c r="Q159" i="25"/>
  <c r="P193" i="24"/>
  <c r="CE23" i="24"/>
  <c r="Q177" i="25"/>
  <c r="Q173" i="24"/>
  <c r="Q156" i="24"/>
  <c r="Q180" i="25"/>
  <c r="S143" i="25"/>
  <c r="K143" i="25" s="1"/>
  <c r="V143" i="25" s="1"/>
  <c r="R205" i="25"/>
  <c r="R153" i="25"/>
  <c r="R206" i="25"/>
  <c r="Q208" i="24"/>
  <c r="CE15" i="24"/>
  <c r="S137" i="25"/>
  <c r="K137" i="25" s="1"/>
  <c r="W137" i="25" s="1"/>
  <c r="Z137" i="25" s="1"/>
  <c r="AA137" i="25" s="1"/>
  <c r="AB137" i="25" s="1"/>
  <c r="S142" i="25"/>
  <c r="K142" i="25" s="1"/>
  <c r="AD142" i="25" s="1"/>
  <c r="AE142" i="25" s="1"/>
  <c r="S167" i="25"/>
  <c r="K167" i="25" s="1"/>
  <c r="AD167" i="25" s="1"/>
  <c r="AE167" i="25" s="1"/>
  <c r="S224" i="25"/>
  <c r="K224" i="25" s="1"/>
  <c r="AD224" i="25" s="1"/>
  <c r="AE224" i="25" s="1"/>
  <c r="R276" i="25"/>
  <c r="R247" i="25"/>
  <c r="R298" i="25"/>
  <c r="Q135" i="25"/>
  <c r="Q136" i="25"/>
  <c r="R195" i="25"/>
  <c r="Q192" i="24"/>
  <c r="Q116" i="24"/>
  <c r="R185" i="25"/>
  <c r="R113" i="25"/>
  <c r="Q141" i="24"/>
  <c r="Q117" i="24"/>
  <c r="S238" i="25"/>
  <c r="K238" i="25" s="1"/>
  <c r="V238" i="25" s="1"/>
  <c r="S247" i="25"/>
  <c r="K247" i="25" s="1"/>
  <c r="AD247" i="25" s="1"/>
  <c r="AE247" i="25" s="1"/>
  <c r="S187" i="25"/>
  <c r="K187" i="25" s="1"/>
  <c r="AD187" i="25" s="1"/>
  <c r="AE187" i="25" s="1"/>
  <c r="R293" i="25"/>
  <c r="R181" i="25"/>
  <c r="R142" i="25"/>
  <c r="Q201" i="24"/>
  <c r="S298" i="25"/>
  <c r="K298" i="25" s="1"/>
  <c r="V298" i="25" s="1"/>
  <c r="S193" i="25"/>
  <c r="K193" i="25" s="1"/>
  <c r="V193" i="25" s="1"/>
  <c r="S274" i="25"/>
  <c r="K274" i="25" s="1"/>
  <c r="V274" i="25" s="1"/>
  <c r="S113" i="25"/>
  <c r="K113" i="25" s="1"/>
  <c r="V113" i="25" s="1"/>
  <c r="R246" i="25"/>
  <c r="R233" i="25"/>
  <c r="R193" i="25"/>
  <c r="Q167" i="25"/>
  <c r="Q137" i="25"/>
  <c r="Q146" i="24"/>
  <c r="Q274" i="25"/>
  <c r="Q171" i="25"/>
  <c r="Q181" i="24"/>
  <c r="S195" i="25"/>
  <c r="K195" i="25" s="1"/>
  <c r="AD195" i="25" s="1"/>
  <c r="AE195" i="25" s="1"/>
  <c r="Q224" i="25"/>
  <c r="Q126" i="24"/>
  <c r="Q166" i="24"/>
  <c r="S181" i="25"/>
  <c r="K181" i="25" s="1"/>
  <c r="AD181" i="25" s="1"/>
  <c r="AE181" i="25" s="1"/>
  <c r="S135" i="25"/>
  <c r="K135" i="25" s="1"/>
  <c r="W135" i="25" s="1"/>
  <c r="Z135" i="25" s="1"/>
  <c r="AA135" i="25" s="1"/>
  <c r="AB135" i="25" s="1"/>
  <c r="S185" i="25"/>
  <c r="K185" i="25" s="1"/>
  <c r="V185" i="25" s="1"/>
  <c r="S202" i="25"/>
  <c r="K202" i="25" s="1"/>
  <c r="V202" i="25" s="1"/>
  <c r="S171" i="25"/>
  <c r="K171" i="25" s="1"/>
  <c r="AD171" i="25" s="1"/>
  <c r="AE171" i="25" s="1"/>
  <c r="Q199" i="25"/>
  <c r="Q202" i="25"/>
  <c r="R187" i="25"/>
  <c r="Q237" i="25"/>
  <c r="R222" i="25"/>
  <c r="S254" i="25"/>
  <c r="K254" i="25" s="1"/>
  <c r="AD254" i="25" s="1"/>
  <c r="AE254" i="25" s="1"/>
  <c r="S267" i="25"/>
  <c r="K267" i="25" s="1"/>
  <c r="W267" i="25" s="1"/>
  <c r="Z267" i="25" s="1"/>
  <c r="AA267" i="25" s="1"/>
  <c r="AB267" i="25" s="1"/>
  <c r="R164" i="25"/>
  <c r="R124" i="25"/>
  <c r="S297" i="25"/>
  <c r="K297" i="25" s="1"/>
  <c r="AD297" i="25" s="1"/>
  <c r="AE297" i="25" s="1"/>
  <c r="Q250" i="25"/>
  <c r="R245" i="25"/>
  <c r="R308" i="25"/>
  <c r="S313" i="25"/>
  <c r="K313" i="25" s="1"/>
  <c r="V313" i="25" s="1"/>
  <c r="S179" i="25"/>
  <c r="K179" i="25" s="1"/>
  <c r="AD179" i="25" s="1"/>
  <c r="AE179" i="25" s="1"/>
  <c r="S131" i="25"/>
  <c r="K131" i="25" s="1"/>
  <c r="V131" i="25" s="1"/>
  <c r="S257" i="25"/>
  <c r="K257" i="25" s="1"/>
  <c r="AD257" i="25" s="1"/>
  <c r="AE257" i="25" s="1"/>
  <c r="S312" i="25"/>
  <c r="K312" i="25" s="1"/>
  <c r="W312" i="25" s="1"/>
  <c r="Z312" i="25" s="1"/>
  <c r="AA312" i="25" s="1"/>
  <c r="AB312" i="25" s="1"/>
  <c r="S127" i="25"/>
  <c r="K127" i="25" s="1"/>
  <c r="W127" i="25" s="1"/>
  <c r="Z127" i="25" s="1"/>
  <c r="AA127" i="25" s="1"/>
  <c r="AB127" i="25" s="1"/>
  <c r="Q307" i="25"/>
  <c r="Q290" i="25"/>
  <c r="R179" i="25"/>
  <c r="Q141" i="25"/>
  <c r="R114" i="25"/>
  <c r="Q175" i="25"/>
  <c r="R161" i="25"/>
  <c r="Q165" i="25"/>
  <c r="Q228" i="25"/>
  <c r="Q126" i="25"/>
  <c r="S114" i="25"/>
  <c r="K114" i="25" s="1"/>
  <c r="AD114" i="25" s="1"/>
  <c r="AE114" i="25" s="1"/>
  <c r="S308" i="25"/>
  <c r="K308" i="25" s="1"/>
  <c r="V308" i="25" s="1"/>
  <c r="S165" i="25"/>
  <c r="K165" i="25" s="1"/>
  <c r="W165" i="25" s="1"/>
  <c r="Z165" i="25" s="1"/>
  <c r="AA165" i="25" s="1"/>
  <c r="AB165" i="25" s="1"/>
  <c r="S141" i="25"/>
  <c r="K141" i="25" s="1"/>
  <c r="W141" i="25" s="1"/>
  <c r="Z141" i="25" s="1"/>
  <c r="AA141" i="25" s="1"/>
  <c r="Q297" i="25"/>
  <c r="Q313" i="25"/>
  <c r="R223" i="25"/>
  <c r="Q257" i="25"/>
  <c r="Q160" i="25"/>
  <c r="R209" i="25"/>
  <c r="S194" i="25"/>
  <c r="K194" i="25" s="1"/>
  <c r="AD194" i="25" s="1"/>
  <c r="AE194" i="25" s="1"/>
  <c r="S176" i="25"/>
  <c r="K176" i="25" s="1"/>
  <c r="W176" i="25" s="1"/>
  <c r="Z176" i="25" s="1"/>
  <c r="AA176" i="25" s="1"/>
  <c r="S124" i="25"/>
  <c r="K124" i="25" s="1"/>
  <c r="AD124" i="25" s="1"/>
  <c r="AE124" i="25" s="1"/>
  <c r="Q282" i="25"/>
  <c r="R307" i="25"/>
  <c r="Q223" i="25"/>
  <c r="S198" i="25"/>
  <c r="K198" i="25" s="1"/>
  <c r="AD198" i="25" s="1"/>
  <c r="AE198" i="25" s="1"/>
  <c r="S161" i="25"/>
  <c r="K161" i="25" s="1"/>
  <c r="AD161" i="25" s="1"/>
  <c r="AE161" i="25" s="1"/>
  <c r="S304" i="25"/>
  <c r="K304" i="25" s="1"/>
  <c r="AD304" i="25" s="1"/>
  <c r="AE304" i="25" s="1"/>
  <c r="S209" i="25"/>
  <c r="K209" i="25" s="1"/>
  <c r="V209" i="25" s="1"/>
  <c r="Q263" i="25"/>
  <c r="Q296" i="25"/>
  <c r="Q176" i="25"/>
  <c r="S175" i="25"/>
  <c r="K175" i="25" s="1"/>
  <c r="AD175" i="25" s="1"/>
  <c r="AE175" i="25" s="1"/>
  <c r="S126" i="25"/>
  <c r="K126" i="25" s="1"/>
  <c r="V126" i="25" s="1"/>
  <c r="Q230" i="25"/>
  <c r="Q266" i="25"/>
  <c r="Q222" i="25"/>
  <c r="Q194" i="25"/>
  <c r="Q198" i="25"/>
  <c r="R127" i="25"/>
  <c r="Q115" i="24"/>
  <c r="S208" i="25"/>
  <c r="K208" i="25" s="1"/>
  <c r="AD208" i="25" s="1"/>
  <c r="AE208" i="25" s="1"/>
  <c r="S118" i="25"/>
  <c r="K118" i="25" s="1"/>
  <c r="AD118" i="25" s="1"/>
  <c r="AE118" i="25" s="1"/>
  <c r="R148" i="25"/>
  <c r="S146" i="25"/>
  <c r="K146" i="25" s="1"/>
  <c r="AD146" i="25" s="1"/>
  <c r="AE146" i="25" s="1"/>
  <c r="S158" i="25"/>
  <c r="K158" i="25" s="1"/>
  <c r="AD158" i="25" s="1"/>
  <c r="AE158" i="25" s="1"/>
  <c r="S192" i="25"/>
  <c r="K192" i="25" s="1"/>
  <c r="W192" i="25" s="1"/>
  <c r="Z192" i="25" s="1"/>
  <c r="AA192" i="25" s="1"/>
  <c r="S290" i="25"/>
  <c r="K290" i="25" s="1"/>
  <c r="V290" i="25" s="1"/>
  <c r="S174" i="25"/>
  <c r="K174" i="25" s="1"/>
  <c r="W174" i="25" s="1"/>
  <c r="Z174" i="25" s="1"/>
  <c r="AA174" i="25" s="1"/>
  <c r="S266" i="25"/>
  <c r="K266" i="25" s="1"/>
  <c r="W266" i="25" s="1"/>
  <c r="Z266" i="25" s="1"/>
  <c r="AA266" i="25" s="1"/>
  <c r="S164" i="25"/>
  <c r="K164" i="25" s="1"/>
  <c r="W164" i="25" s="1"/>
  <c r="Z164" i="25" s="1"/>
  <c r="AA164" i="25" s="1"/>
  <c r="AB164" i="25" s="1"/>
  <c r="S237" i="25"/>
  <c r="K237" i="25" s="1"/>
  <c r="V237" i="25" s="1"/>
  <c r="Q231" i="25"/>
  <c r="Q267" i="25"/>
  <c r="Q310" i="25"/>
  <c r="Q302" i="25"/>
  <c r="Q242" i="25"/>
  <c r="Q304" i="25"/>
  <c r="Q271" i="25"/>
  <c r="Q254" i="25"/>
  <c r="Q149" i="25"/>
  <c r="Q158" i="25"/>
  <c r="Q118" i="25"/>
  <c r="R146" i="25"/>
  <c r="S228" i="25"/>
  <c r="K228" i="25" s="1"/>
  <c r="AD228" i="25" s="1"/>
  <c r="AE228" i="25" s="1"/>
  <c r="S230" i="25"/>
  <c r="K230" i="25" s="1"/>
  <c r="V230" i="25" s="1"/>
  <c r="S296" i="25"/>
  <c r="K296" i="25" s="1"/>
  <c r="V296" i="25" s="1"/>
  <c r="S183" i="25"/>
  <c r="K183" i="25" s="1"/>
  <c r="V183" i="25" s="1"/>
  <c r="S242" i="25"/>
  <c r="K242" i="25" s="1"/>
  <c r="AD242" i="25" s="1"/>
  <c r="AE242" i="25" s="1"/>
  <c r="R231" i="25"/>
  <c r="R310" i="25"/>
  <c r="R302" i="25"/>
  <c r="R166" i="25"/>
  <c r="R183" i="25"/>
  <c r="S282" i="25"/>
  <c r="K282" i="25" s="1"/>
  <c r="V282" i="25" s="1"/>
  <c r="S221" i="25"/>
  <c r="K221" i="25" s="1"/>
  <c r="AD221" i="25" s="1"/>
  <c r="AE221" i="25" s="1"/>
  <c r="S264" i="25"/>
  <c r="K264" i="25" s="1"/>
  <c r="AD264" i="25" s="1"/>
  <c r="AE264" i="25" s="1"/>
  <c r="S132" i="25"/>
  <c r="K132" i="25" s="1"/>
  <c r="W132" i="25" s="1"/>
  <c r="Z132" i="25" s="1"/>
  <c r="AA132" i="25" s="1"/>
  <c r="AB132" i="25" s="1"/>
  <c r="R275" i="25"/>
  <c r="R309" i="25"/>
  <c r="S281" i="25"/>
  <c r="K281" i="25" s="1"/>
  <c r="AD281" i="25" s="1"/>
  <c r="AE281" i="25" s="1"/>
  <c r="Q281" i="25"/>
  <c r="S166" i="25"/>
  <c r="K166" i="25" s="1"/>
  <c r="AD166" i="25" s="1"/>
  <c r="AE166" i="25" s="1"/>
  <c r="Q264" i="25"/>
  <c r="R117" i="25"/>
  <c r="R162" i="25"/>
  <c r="S200" i="25"/>
  <c r="K200" i="25" s="1"/>
  <c r="V200" i="25" s="1"/>
  <c r="S130" i="25"/>
  <c r="K130" i="25" s="1"/>
  <c r="AD130" i="25" s="1"/>
  <c r="AE130" i="25" s="1"/>
  <c r="S196" i="25"/>
  <c r="K196" i="25" s="1"/>
  <c r="V196" i="25" s="1"/>
  <c r="S148" i="25"/>
  <c r="K148" i="25" s="1"/>
  <c r="V148" i="25" s="1"/>
  <c r="S122" i="25"/>
  <c r="K122" i="25" s="1"/>
  <c r="W122" i="25" s="1"/>
  <c r="Z122" i="25" s="1"/>
  <c r="AA122" i="25" s="1"/>
  <c r="R208" i="25"/>
  <c r="Q192" i="25"/>
  <c r="R200" i="25"/>
  <c r="R130" i="25"/>
  <c r="Q316" i="25"/>
  <c r="CE37" i="24"/>
  <c r="Q150" i="24"/>
  <c r="S316" i="25"/>
  <c r="K316" i="25" s="1"/>
  <c r="W316" i="25" s="1"/>
  <c r="Z316" i="25" s="1"/>
  <c r="AA316" i="25" s="1"/>
  <c r="AB316" i="25" s="1"/>
  <c r="CE8" i="24"/>
  <c r="S311" i="25"/>
  <c r="K311" i="25" s="1"/>
  <c r="AD311" i="25" s="1"/>
  <c r="AE311" i="25" s="1"/>
  <c r="S292" i="25"/>
  <c r="K292" i="25" s="1"/>
  <c r="AD292" i="25" s="1"/>
  <c r="AE292" i="25" s="1"/>
  <c r="Q292" i="25"/>
  <c r="Q268" i="25"/>
  <c r="Q305" i="25"/>
  <c r="Q291" i="25"/>
  <c r="Q269" i="25"/>
  <c r="Q289" i="25"/>
  <c r="Q315" i="25"/>
  <c r="S255" i="25"/>
  <c r="K255" i="25" s="1"/>
  <c r="AD255" i="25" s="1"/>
  <c r="AE255" i="25" s="1"/>
  <c r="R268" i="25"/>
  <c r="R305" i="25"/>
  <c r="R291" i="25"/>
  <c r="R269" i="25"/>
  <c r="R289" i="25"/>
  <c r="R315" i="25"/>
  <c r="S272" i="25"/>
  <c r="K272" i="25" s="1"/>
  <c r="AD272" i="25" s="1"/>
  <c r="AE272" i="25" s="1"/>
  <c r="Q240" i="25"/>
  <c r="Q255" i="25"/>
  <c r="Q239" i="25"/>
  <c r="Q252" i="25"/>
  <c r="Q272" i="25"/>
  <c r="Q300" i="25"/>
  <c r="R240" i="25"/>
  <c r="R239" i="25"/>
  <c r="R252" i="25"/>
  <c r="R300" i="25"/>
  <c r="S248" i="25"/>
  <c r="K248" i="25" s="1"/>
  <c r="V248" i="25" s="1"/>
  <c r="Q248" i="25"/>
  <c r="Q311" i="25"/>
  <c r="Q196" i="24"/>
  <c r="Q207" i="24"/>
  <c r="Q143" i="24"/>
  <c r="Q205" i="24"/>
  <c r="Q149" i="24"/>
  <c r="Q182" i="24"/>
  <c r="Q162" i="24"/>
  <c r="Q203" i="24"/>
  <c r="Q177" i="24"/>
  <c r="Q128" i="24"/>
  <c r="Q165" i="24"/>
  <c r="Q186" i="24"/>
  <c r="Q131" i="24"/>
  <c r="Q142" i="24"/>
  <c r="Q154" i="24"/>
  <c r="S207" i="25"/>
  <c r="K207" i="25" s="1"/>
  <c r="V207" i="25" s="1"/>
  <c r="P129" i="24"/>
  <c r="S168" i="25"/>
  <c r="K168" i="25" s="1"/>
  <c r="W168" i="25" s="1"/>
  <c r="Z168" i="25" s="1"/>
  <c r="AA168" i="25" s="1"/>
  <c r="AB168" i="25" s="1"/>
  <c r="R144" i="25"/>
  <c r="P168" i="24"/>
  <c r="P111" i="24"/>
  <c r="S123" i="25"/>
  <c r="K123" i="25" s="1"/>
  <c r="V123" i="25" s="1"/>
  <c r="Q209" i="24"/>
  <c r="P113" i="24"/>
  <c r="Q174" i="24"/>
  <c r="P120" i="24"/>
  <c r="Q199" i="24"/>
  <c r="Q161" i="24"/>
  <c r="S139" i="25"/>
  <c r="K139" i="25" s="1"/>
  <c r="V139" i="25" s="1"/>
  <c r="S133" i="25"/>
  <c r="K133" i="25" s="1"/>
  <c r="V133" i="25" s="1"/>
  <c r="R168" i="25"/>
  <c r="S128" i="25"/>
  <c r="K128" i="25" s="1"/>
  <c r="W128" i="25" s="1"/>
  <c r="Z128" i="25" s="1"/>
  <c r="AA128" i="25" s="1"/>
  <c r="R125" i="25"/>
  <c r="R207" i="25"/>
  <c r="R210" i="25"/>
  <c r="S144" i="25"/>
  <c r="K144" i="25" s="1"/>
  <c r="W144" i="25" s="1"/>
  <c r="Z144" i="25" s="1"/>
  <c r="AA144" i="25" s="1"/>
  <c r="S125" i="25"/>
  <c r="K125" i="25" s="1"/>
  <c r="V125" i="25" s="1"/>
  <c r="Q123" i="25"/>
  <c r="Q133" i="25"/>
  <c r="S210" i="25"/>
  <c r="K210" i="25" s="1"/>
  <c r="V210" i="25" s="1"/>
  <c r="Q139" i="25"/>
  <c r="R128" i="25"/>
  <c r="S147" i="25"/>
  <c r="K147" i="25" s="1"/>
  <c r="AD147" i="25" s="1"/>
  <c r="AE147" i="25" s="1"/>
  <c r="S162" i="25"/>
  <c r="K162" i="25" s="1"/>
  <c r="AD162" i="25" s="1"/>
  <c r="AE162" i="25" s="1"/>
  <c r="S172" i="25"/>
  <c r="K172" i="25" s="1"/>
  <c r="V172" i="25" s="1"/>
  <c r="S201" i="25"/>
  <c r="K201" i="25" s="1"/>
  <c r="V201" i="25" s="1"/>
  <c r="Q172" i="24"/>
  <c r="Q183" i="24"/>
  <c r="Q125" i="24"/>
  <c r="Q155" i="24"/>
  <c r="S150" i="25"/>
  <c r="K150" i="25" s="1"/>
  <c r="AD150" i="25" s="1"/>
  <c r="AE150" i="25" s="1"/>
  <c r="S154" i="25"/>
  <c r="K154" i="25" s="1"/>
  <c r="AD154" i="25" s="1"/>
  <c r="AE154" i="25" s="1"/>
  <c r="R184" i="25"/>
  <c r="R174" i="25"/>
  <c r="Q156" i="25"/>
  <c r="Q172" i="25"/>
  <c r="Q178" i="24"/>
  <c r="R154" i="25"/>
  <c r="Q147" i="25"/>
  <c r="R132" i="25"/>
  <c r="R150" i="25"/>
  <c r="Q176" i="24"/>
  <c r="Q201" i="25"/>
  <c r="Q127" i="24"/>
  <c r="S134" i="25"/>
  <c r="K134" i="25" s="1"/>
  <c r="AD134" i="25" s="1"/>
  <c r="AE134" i="25" s="1"/>
  <c r="S184" i="25"/>
  <c r="K184" i="25" s="1"/>
  <c r="W184" i="25" s="1"/>
  <c r="Z184" i="25" s="1"/>
  <c r="AA184" i="25" s="1"/>
  <c r="AB184" i="25" s="1"/>
  <c r="Q133" i="24"/>
  <c r="Q132" i="24"/>
  <c r="Q134" i="24"/>
  <c r="S156" i="25"/>
  <c r="K156" i="25" s="1"/>
  <c r="W156" i="25" s="1"/>
  <c r="Z156" i="25" s="1"/>
  <c r="AA156" i="25" s="1"/>
  <c r="AB156" i="25" s="1"/>
  <c r="R134" i="25"/>
  <c r="CD55" i="24"/>
  <c r="CD11" i="24"/>
  <c r="CD28" i="24"/>
  <c r="CD24" i="24"/>
  <c r="CE5" i="24"/>
  <c r="CE16" i="24"/>
  <c r="CE79" i="24"/>
  <c r="CE36" i="24"/>
  <c r="CE40" i="24"/>
  <c r="CE44" i="24"/>
  <c r="CD16" i="24"/>
  <c r="CD27" i="24"/>
  <c r="CD44" i="24"/>
  <c r="CD40" i="24"/>
  <c r="CD5" i="24"/>
  <c r="CE32" i="24"/>
  <c r="CE24" i="24"/>
  <c r="CE84" i="24"/>
  <c r="CE10" i="24"/>
  <c r="CE76" i="24"/>
  <c r="CD32" i="24"/>
  <c r="CD43" i="24"/>
  <c r="CD76" i="24"/>
  <c r="CD56" i="24"/>
  <c r="CE14" i="24"/>
  <c r="CE64" i="24"/>
  <c r="CE56" i="24"/>
  <c r="CE100" i="24"/>
  <c r="CE26" i="24"/>
  <c r="CE9" i="24"/>
  <c r="CD64" i="24"/>
  <c r="CD37" i="24"/>
  <c r="CD10" i="24"/>
  <c r="CD9" i="24"/>
  <c r="CE30" i="24"/>
  <c r="CE13" i="24"/>
  <c r="CE34" i="24"/>
  <c r="CE17" i="24"/>
  <c r="CE58" i="24"/>
  <c r="CE49" i="24"/>
  <c r="CD14" i="24"/>
  <c r="CD13" i="24"/>
  <c r="CD84" i="24"/>
  <c r="CD26" i="24"/>
  <c r="CD22" i="24"/>
  <c r="CE94" i="24"/>
  <c r="CE57" i="24"/>
  <c r="CE11" i="24"/>
  <c r="CE33" i="24"/>
  <c r="CE19" i="24"/>
  <c r="CD30" i="24"/>
  <c r="CD57" i="24"/>
  <c r="CD100" i="24"/>
  <c r="CD19" i="24"/>
  <c r="CE7" i="24"/>
  <c r="CE6" i="24"/>
  <c r="CE27" i="24"/>
  <c r="CE22" i="24"/>
  <c r="AH272" i="25"/>
  <c r="AH31" i="25"/>
  <c r="AH304" i="25"/>
  <c r="AH207" i="25"/>
  <c r="AH247" i="25"/>
  <c r="AH189" i="25"/>
  <c r="AH126" i="25"/>
  <c r="AH286" i="25"/>
  <c r="AH158" i="25"/>
  <c r="AH292" i="25"/>
  <c r="AH282" i="25"/>
  <c r="AH177" i="25"/>
  <c r="AH77" i="25"/>
  <c r="AH234" i="25"/>
  <c r="AH156" i="25"/>
  <c r="AH43" i="25"/>
  <c r="AH313" i="25"/>
  <c r="AH300" i="25"/>
  <c r="AH195" i="25"/>
  <c r="AH166" i="25"/>
  <c r="AH153" i="25"/>
  <c r="AH61" i="25"/>
  <c r="AH82" i="25"/>
  <c r="AH41" i="25"/>
  <c r="AH314" i="25"/>
  <c r="AH251" i="25"/>
  <c r="AH202" i="25"/>
  <c r="AH159" i="25"/>
  <c r="AH254" i="25"/>
  <c r="AH130" i="25"/>
  <c r="AH176" i="25"/>
  <c r="AH103" i="25"/>
  <c r="AH228" i="25"/>
  <c r="AH79" i="25"/>
  <c r="AH80" i="25"/>
  <c r="AH35" i="25"/>
  <c r="AH290" i="25"/>
  <c r="AH274" i="25"/>
  <c r="AH260" i="25"/>
  <c r="AH261" i="25"/>
  <c r="AH149" i="25"/>
  <c r="AH94" i="25"/>
  <c r="AH117" i="25"/>
  <c r="AH90" i="25"/>
  <c r="AH317" i="25"/>
  <c r="AH199" i="25"/>
  <c r="AH170" i="25"/>
  <c r="AH196" i="25"/>
  <c r="AH132" i="25"/>
  <c r="AH65" i="25"/>
  <c r="AH72" i="25"/>
  <c r="AH30" i="25"/>
  <c r="AH157" i="25"/>
  <c r="AH111" i="25"/>
  <c r="AH17" i="25"/>
  <c r="AH121" i="25"/>
  <c r="AH268" i="25"/>
  <c r="AH32" i="25"/>
  <c r="AH289" i="25"/>
  <c r="AH178" i="25"/>
  <c r="AH136" i="25"/>
  <c r="AH38" i="25"/>
  <c r="AH311" i="25"/>
  <c r="AH285" i="25"/>
  <c r="AH39" i="25"/>
  <c r="AH86" i="25"/>
  <c r="AH155" i="25"/>
  <c r="AH239" i="25"/>
  <c r="AH147" i="25"/>
  <c r="AH249" i="25"/>
  <c r="AH193" i="25"/>
  <c r="AH129" i="25"/>
  <c r="AH100" i="25"/>
  <c r="AH221" i="25"/>
  <c r="AH67" i="25"/>
  <c r="AH68" i="25"/>
  <c r="AH26" i="25"/>
  <c r="AH278" i="25"/>
  <c r="AH264" i="25"/>
  <c r="AH270" i="25"/>
  <c r="AH227" i="25"/>
  <c r="AH152" i="25"/>
  <c r="AH91" i="25"/>
  <c r="AH27" i="25"/>
  <c r="AH10" i="25"/>
  <c r="AH28" i="25"/>
  <c r="AH303" i="25"/>
  <c r="AH208" i="25"/>
  <c r="AH230" i="25"/>
  <c r="AH139" i="25"/>
  <c r="AH174" i="25"/>
  <c r="AH24" i="25"/>
  <c r="AH243" i="25"/>
  <c r="AH151" i="25"/>
  <c r="AH250" i="25"/>
  <c r="AH172" i="25"/>
  <c r="AH101" i="25"/>
  <c r="AH224" i="25"/>
  <c r="AH71" i="25"/>
  <c r="AH20" i="25"/>
  <c r="AH201" i="25"/>
  <c r="AH237" i="25"/>
  <c r="AH76" i="25"/>
  <c r="AH231" i="25"/>
  <c r="AH92" i="25"/>
  <c r="AH11" i="25"/>
  <c r="AH112" i="25"/>
  <c r="AH69" i="25"/>
  <c r="AH310" i="25"/>
  <c r="AH276" i="25"/>
  <c r="AH93" i="25"/>
  <c r="AH45" i="25"/>
  <c r="AH316" i="25"/>
  <c r="AH291" i="25"/>
  <c r="AH252" i="25"/>
  <c r="AH198" i="25"/>
  <c r="AH169" i="25"/>
  <c r="AH275" i="25"/>
  <c r="AH15" i="25"/>
  <c r="AH7" i="25"/>
  <c r="AH16" i="25"/>
  <c r="AH309" i="25"/>
  <c r="AH284" i="25"/>
  <c r="AH191" i="25"/>
  <c r="AH162" i="25"/>
  <c r="AH192" i="25"/>
  <c r="AH128" i="25"/>
  <c r="AH57" i="25"/>
  <c r="AH78" i="25"/>
  <c r="AH21" i="25"/>
  <c r="AH181" i="25"/>
  <c r="AH127" i="25"/>
  <c r="AH297" i="25"/>
  <c r="AH49" i="25"/>
  <c r="AH18" i="25"/>
  <c r="AH295" i="25"/>
  <c r="AH256" i="25"/>
  <c r="AH219" i="25"/>
  <c r="AH148" i="25"/>
  <c r="AH279" i="25"/>
  <c r="AH19" i="25"/>
  <c r="AH8" i="25"/>
  <c r="AH70" i="25"/>
  <c r="AH50" i="25"/>
  <c r="AH197" i="25"/>
  <c r="AH225" i="25"/>
  <c r="AH23" i="25"/>
  <c r="AH58" i="25"/>
  <c r="AH150" i="25"/>
  <c r="AH145" i="25"/>
  <c r="AH29" i="25"/>
  <c r="AH66" i="25"/>
  <c r="AH235" i="25"/>
  <c r="AH168" i="25"/>
  <c r="AH6" i="25"/>
  <c r="AH64" i="25"/>
  <c r="AH209" i="25"/>
  <c r="AH54" i="25"/>
  <c r="AH183" i="25"/>
  <c r="AH266" i="25"/>
  <c r="AH123" i="25"/>
  <c r="AH56" i="25"/>
  <c r="AH298" i="25"/>
  <c r="AH277" i="25"/>
  <c r="AH131" i="25"/>
  <c r="AH241" i="25"/>
  <c r="AH185" i="25"/>
  <c r="AH96" i="25"/>
  <c r="AH118" i="25"/>
  <c r="AH51" i="25"/>
  <c r="AH52" i="25"/>
  <c r="AH312" i="25"/>
  <c r="AH287" i="25"/>
  <c r="AH248" i="25"/>
  <c r="AH194" i="25"/>
  <c r="AH144" i="25"/>
  <c r="AH271" i="25"/>
  <c r="AH12" i="25"/>
  <c r="AH307" i="25"/>
  <c r="AH263" i="25"/>
  <c r="AH280" i="25"/>
  <c r="AH142" i="25"/>
  <c r="AH233" i="25"/>
  <c r="AH59" i="25"/>
  <c r="AH53" i="25"/>
  <c r="AH281" i="25"/>
  <c r="AH135" i="25"/>
  <c r="AH242" i="25"/>
  <c r="AH164" i="25"/>
  <c r="AH97" i="25"/>
  <c r="AH122" i="25"/>
  <c r="AH55" i="25"/>
  <c r="AH120" i="25"/>
  <c r="AH89" i="25"/>
  <c r="AH187" i="25"/>
  <c r="AH190" i="25"/>
  <c r="AH75" i="25"/>
  <c r="AH44" i="25"/>
  <c r="P121" i="24"/>
  <c r="AH288" i="25"/>
  <c r="AH222" i="25"/>
  <c r="AH265" i="25"/>
  <c r="AH119" i="25"/>
  <c r="AH99" i="25"/>
  <c r="AH63" i="25"/>
  <c r="AH22" i="25"/>
  <c r="AH299" i="25"/>
  <c r="AH244" i="25"/>
  <c r="AH204" i="25"/>
  <c r="AH188" i="25"/>
  <c r="AH33" i="25"/>
  <c r="AH124" i="25"/>
  <c r="AH305" i="25"/>
  <c r="AH205" i="25"/>
  <c r="AH182" i="25"/>
  <c r="AH116" i="25"/>
  <c r="AH267" i="25"/>
  <c r="AH301" i="25"/>
  <c r="AH210" i="25"/>
  <c r="AH262" i="25"/>
  <c r="AH146" i="25"/>
  <c r="AH184" i="25"/>
  <c r="AH115" i="25"/>
  <c r="AH293" i="25"/>
  <c r="AH165" i="25"/>
  <c r="AH102" i="25"/>
  <c r="AH306" i="25"/>
  <c r="AH240" i="25"/>
  <c r="AH186" i="25"/>
  <c r="AH88" i="25"/>
  <c r="AH37" i="25"/>
  <c r="AH173" i="25"/>
  <c r="AH73" i="25"/>
  <c r="AH34" i="25"/>
  <c r="AH200" i="25"/>
  <c r="AH179" i="25"/>
  <c r="AH46" i="25"/>
  <c r="AH143" i="25"/>
  <c r="AH246" i="25"/>
  <c r="AH220" i="25"/>
  <c r="AH245" i="25"/>
  <c r="AH302" i="25"/>
  <c r="AH296" i="25"/>
  <c r="AH226" i="25"/>
  <c r="AH154" i="25"/>
  <c r="AH14" i="25"/>
  <c r="AH269" i="25"/>
  <c r="AH141" i="25"/>
  <c r="AH98" i="25"/>
  <c r="AH236" i="25"/>
  <c r="AH161" i="25"/>
  <c r="AH85" i="25"/>
  <c r="AH81" i="25"/>
  <c r="AH175" i="25"/>
  <c r="AH125" i="25"/>
  <c r="AH25" i="25"/>
  <c r="AH62" i="25"/>
  <c r="AH42" i="25"/>
  <c r="AH9" i="25"/>
  <c r="AH140" i="25"/>
  <c r="AH315" i="25"/>
  <c r="AH255" i="25"/>
  <c r="AH163" i="25"/>
  <c r="AH257" i="25"/>
  <c r="AH134" i="25"/>
  <c r="AH137" i="25"/>
  <c r="AH104" i="25"/>
  <c r="AH229" i="25"/>
  <c r="AH83" i="25"/>
  <c r="AH84" i="25"/>
  <c r="AH36" i="25"/>
  <c r="AH294" i="25"/>
  <c r="AH273" i="25"/>
  <c r="AH238" i="25"/>
  <c r="AH160" i="25"/>
  <c r="AH95" i="25"/>
  <c r="AH114" i="25"/>
  <c r="AH47" i="25"/>
  <c r="AH48" i="25"/>
  <c r="AH308" i="25"/>
  <c r="AH283" i="25"/>
  <c r="AH203" i="25"/>
  <c r="AH171" i="25"/>
  <c r="AH223" i="25"/>
  <c r="AH60" i="25"/>
  <c r="AH259" i="25"/>
  <c r="AH206" i="25"/>
  <c r="AH167" i="25"/>
  <c r="AH258" i="25"/>
  <c r="AH138" i="25"/>
  <c r="AH180" i="25"/>
  <c r="AH105" i="25"/>
  <c r="AH232" i="25"/>
  <c r="AH87" i="25"/>
  <c r="AH113" i="25"/>
  <c r="AH13" i="25"/>
  <c r="AH40" i="25"/>
  <c r="AH318" i="25"/>
  <c r="AH253" i="25"/>
  <c r="AH133" i="25"/>
  <c r="AH74" i="25"/>
  <c r="P153" i="24"/>
  <c r="Q123" i="24"/>
  <c r="Q158" i="24"/>
  <c r="Q152" i="24"/>
  <c r="P140" i="24"/>
  <c r="P144" i="24"/>
  <c r="Q137" i="24"/>
  <c r="P147" i="24"/>
  <c r="Q179" i="24"/>
  <c r="AP105" i="24"/>
  <c r="AP104" i="24"/>
  <c r="Q163" i="24"/>
  <c r="Q145" i="24"/>
  <c r="B39" i="2"/>
  <c r="Q206" i="24"/>
  <c r="Q112" i="24"/>
  <c r="V210" i="24"/>
  <c r="L19" i="1"/>
  <c r="BC7" i="19"/>
  <c r="B38" i="2"/>
  <c r="D38" i="2" s="1"/>
  <c r="CF125" i="25"/>
  <c r="CF123" i="25"/>
  <c r="CF132" i="25"/>
  <c r="CF112" i="25"/>
  <c r="CF114" i="25"/>
  <c r="CF117" i="25"/>
  <c r="CF122" i="25"/>
  <c r="CF128" i="25"/>
  <c r="CF116" i="25"/>
  <c r="CF115" i="25"/>
  <c r="CF111" i="25"/>
  <c r="CF118" i="25"/>
  <c r="CF113" i="25"/>
  <c r="BY195" i="24"/>
  <c r="BZ200" i="25"/>
  <c r="BZ188" i="25"/>
  <c r="BZ124" i="25"/>
  <c r="BZ160" i="25"/>
  <c r="BZ198" i="25"/>
  <c r="BZ203" i="25"/>
  <c r="BZ171" i="25"/>
  <c r="BZ155" i="25"/>
  <c r="BZ123" i="25"/>
  <c r="BZ150" i="25"/>
  <c r="BZ134" i="25"/>
  <c r="BZ209" i="25"/>
  <c r="BZ177" i="25"/>
  <c r="BZ145" i="25"/>
  <c r="BZ113" i="25"/>
  <c r="BY171" i="24"/>
  <c r="BY185" i="24"/>
  <c r="BY156" i="24"/>
  <c r="BZ180" i="25"/>
  <c r="BZ194" i="25"/>
  <c r="BZ144" i="25"/>
  <c r="BZ190" i="25"/>
  <c r="BZ136" i="25"/>
  <c r="BZ199" i="25"/>
  <c r="BZ183" i="25"/>
  <c r="BZ167" i="25"/>
  <c r="BZ135" i="25"/>
  <c r="BZ119" i="25"/>
  <c r="BZ178" i="25"/>
  <c r="BZ162" i="25"/>
  <c r="BZ130" i="25"/>
  <c r="BZ114" i="25"/>
  <c r="BZ189" i="25"/>
  <c r="BZ157" i="25"/>
  <c r="BZ141" i="25"/>
  <c r="BZ172" i="25"/>
  <c r="BZ116" i="25"/>
  <c r="BZ151" i="25"/>
  <c r="BZ146" i="25"/>
  <c r="BZ205" i="25"/>
  <c r="BZ173" i="25"/>
  <c r="BZ125" i="25"/>
  <c r="BZ132" i="25"/>
  <c r="BZ202" i="25"/>
  <c r="BZ140" i="25"/>
  <c r="BZ152" i="25"/>
  <c r="BZ187" i="25"/>
  <c r="BZ139" i="25"/>
  <c r="BZ166" i="25"/>
  <c r="BZ118" i="25"/>
  <c r="BZ193" i="25"/>
  <c r="BZ161" i="25"/>
  <c r="BZ129" i="25"/>
  <c r="BZ204" i="25"/>
  <c r="BZ164" i="25"/>
  <c r="BZ192" i="25"/>
  <c r="BZ186" i="25"/>
  <c r="BZ128" i="25"/>
  <c r="BZ208" i="25"/>
  <c r="BZ182" i="25"/>
  <c r="BZ120" i="25"/>
  <c r="BZ195" i="25"/>
  <c r="BZ179" i="25"/>
  <c r="BZ163" i="25"/>
  <c r="BZ147" i="25"/>
  <c r="BZ131" i="25"/>
  <c r="BZ115" i="25"/>
  <c r="BZ174" i="25"/>
  <c r="BZ158" i="25"/>
  <c r="BZ142" i="25"/>
  <c r="BZ126" i="25"/>
  <c r="BZ201" i="25"/>
  <c r="BZ185" i="25"/>
  <c r="BZ169" i="25"/>
  <c r="BZ153" i="25"/>
  <c r="BZ137" i="25"/>
  <c r="BZ121" i="25"/>
  <c r="Q210" i="24"/>
  <c r="BZ196" i="25"/>
  <c r="BZ148" i="25"/>
  <c r="BZ156" i="25"/>
  <c r="BZ210" i="25"/>
  <c r="BZ176" i="25"/>
  <c r="BZ112" i="25"/>
  <c r="BZ184" i="25"/>
  <c r="BZ206" i="25"/>
  <c r="BZ168" i="25"/>
  <c r="BZ207" i="25"/>
  <c r="BZ191" i="25"/>
  <c r="BZ175" i="25"/>
  <c r="BZ159" i="25"/>
  <c r="BZ143" i="25"/>
  <c r="BZ127" i="25"/>
  <c r="BZ111" i="25"/>
  <c r="BZ170" i="25"/>
  <c r="BZ154" i="25"/>
  <c r="BZ138" i="25"/>
  <c r="BZ122" i="25"/>
  <c r="BZ197" i="25"/>
  <c r="BZ181" i="25"/>
  <c r="BZ165" i="25"/>
  <c r="BZ149" i="25"/>
  <c r="BZ133" i="25"/>
  <c r="BZ117" i="25"/>
  <c r="BZ110" i="25"/>
  <c r="BY130" i="24"/>
  <c r="BY133" i="24"/>
  <c r="BY139" i="24"/>
  <c r="BY158" i="24"/>
  <c r="BY190" i="24"/>
  <c r="BY174" i="24"/>
  <c r="BY151" i="24"/>
  <c r="BY166" i="24"/>
  <c r="BY117" i="24"/>
  <c r="BY114" i="24"/>
  <c r="BY147" i="24"/>
  <c r="BY146" i="24"/>
  <c r="BY120" i="24"/>
  <c r="BY153" i="24"/>
  <c r="BY144" i="24"/>
  <c r="BY168" i="24"/>
  <c r="BY209" i="24"/>
  <c r="BY113" i="24"/>
  <c r="BY204" i="24"/>
  <c r="BY193" i="24"/>
  <c r="BY143" i="24"/>
  <c r="BY132" i="24"/>
  <c r="BY189" i="24"/>
  <c r="BY176" i="24"/>
  <c r="BY198" i="24"/>
  <c r="BY191" i="24"/>
  <c r="J254" i="24"/>
  <c r="X254" i="24" s="1"/>
  <c r="AA254" i="24" s="1"/>
  <c r="AB254" i="24" s="1"/>
  <c r="AC254" i="24" s="1"/>
  <c r="J190" i="24"/>
  <c r="AI190" i="24" s="1"/>
  <c r="O255" i="24"/>
  <c r="J306" i="24"/>
  <c r="X306" i="24" s="1"/>
  <c r="AA306" i="24" s="1"/>
  <c r="AB306" i="24" s="1"/>
  <c r="AC306" i="24" s="1"/>
  <c r="O224" i="24"/>
  <c r="J278" i="24"/>
  <c r="AE278" i="24" s="1"/>
  <c r="AF278" i="24" s="1"/>
  <c r="O244" i="24"/>
  <c r="O286" i="24"/>
  <c r="O252" i="24"/>
  <c r="O219" i="24"/>
  <c r="O280" i="24"/>
  <c r="J130" i="24"/>
  <c r="AI130" i="24" s="1"/>
  <c r="J283" i="24"/>
  <c r="AE283" i="24" s="1"/>
  <c r="AF283" i="24" s="1"/>
  <c r="J281" i="24"/>
  <c r="AE281" i="24" s="1"/>
  <c r="AF281" i="24" s="1"/>
  <c r="O308" i="24"/>
  <c r="J261" i="24"/>
  <c r="W261" i="24" s="1"/>
  <c r="Y261" i="24" s="1"/>
  <c r="O237" i="24"/>
  <c r="J171" i="24"/>
  <c r="AI171" i="24" s="1"/>
  <c r="J193" i="24"/>
  <c r="AI193" i="24" s="1"/>
  <c r="J147" i="24"/>
  <c r="AI147" i="24" s="1"/>
  <c r="J158" i="24"/>
  <c r="AI158" i="24" s="1"/>
  <c r="O220" i="24"/>
  <c r="O200" i="24"/>
  <c r="BY200" i="24" s="1"/>
  <c r="J266" i="24"/>
  <c r="AI266" i="24" s="1"/>
  <c r="J191" i="24"/>
  <c r="AI191" i="24" s="1"/>
  <c r="O173" i="24"/>
  <c r="BY173" i="24" s="1"/>
  <c r="O310" i="24"/>
  <c r="O288" i="24"/>
  <c r="J312" i="24"/>
  <c r="X312" i="24" s="1"/>
  <c r="AA312" i="24" s="1"/>
  <c r="AB312" i="24" s="1"/>
  <c r="AC312" i="24" s="1"/>
  <c r="J284" i="24"/>
  <c r="AE284" i="24" s="1"/>
  <c r="AF284" i="24" s="1"/>
  <c r="J249" i="24"/>
  <c r="AE249" i="24" s="1"/>
  <c r="AF249" i="24" s="1"/>
  <c r="O289" i="24"/>
  <c r="O248" i="24"/>
  <c r="J132" i="24"/>
  <c r="AI132" i="24" s="1"/>
  <c r="O303" i="24"/>
  <c r="J313" i="24"/>
  <c r="W313" i="24" s="1"/>
  <c r="J291" i="24"/>
  <c r="AI291" i="24" s="1"/>
  <c r="J227" i="24"/>
  <c r="AI227" i="24" s="1"/>
  <c r="O275" i="24"/>
  <c r="O222" i="24"/>
  <c r="O225" i="24"/>
  <c r="O246" i="24"/>
  <c r="O197" i="24"/>
  <c r="BY197" i="24" s="1"/>
  <c r="O202" i="24"/>
  <c r="BY202" i="24" s="1"/>
  <c r="J290" i="24"/>
  <c r="W290" i="24" s="1"/>
  <c r="Y290" i="24" s="1"/>
  <c r="O276" i="24"/>
  <c r="J245" i="24"/>
  <c r="W245" i="24" s="1"/>
  <c r="O228" i="24"/>
  <c r="J258" i="24"/>
  <c r="W258" i="24" s="1"/>
  <c r="Y258" i="24" s="1"/>
  <c r="O241" i="24"/>
  <c r="J300" i="24"/>
  <c r="AI300" i="24" s="1"/>
  <c r="J143" i="24"/>
  <c r="AI143" i="24" s="1"/>
  <c r="J185" i="24"/>
  <c r="AI185" i="24" s="1"/>
  <c r="O236" i="24"/>
  <c r="J176" i="24"/>
  <c r="AI176" i="24" s="1"/>
  <c r="J139" i="24"/>
  <c r="AI139" i="24" s="1"/>
  <c r="O311" i="24"/>
  <c r="O135" i="24"/>
  <c r="BY135" i="24" s="1"/>
  <c r="O180" i="24"/>
  <c r="BY180" i="24" s="1"/>
  <c r="O315" i="24"/>
  <c r="J279" i="24"/>
  <c r="X279" i="24" s="1"/>
  <c r="AA279" i="24" s="1"/>
  <c r="AB279" i="24" s="1"/>
  <c r="AC279" i="24" s="1"/>
  <c r="J263" i="24"/>
  <c r="AE263" i="24" s="1"/>
  <c r="AF263" i="24" s="1"/>
  <c r="J292" i="24"/>
  <c r="AI292" i="24" s="1"/>
  <c r="O138" i="24"/>
  <c r="BY138" i="24" s="1"/>
  <c r="J238" i="24"/>
  <c r="X238" i="24" s="1"/>
  <c r="AA238" i="24" s="1"/>
  <c r="AB238" i="24" s="1"/>
  <c r="AC238" i="24" s="1"/>
  <c r="O302" i="24"/>
  <c r="O305" i="24"/>
  <c r="J195" i="24"/>
  <c r="AE195" i="24" s="1"/>
  <c r="AF195" i="24" s="1"/>
  <c r="J198" i="24"/>
  <c r="AI198" i="24" s="1"/>
  <c r="J218" i="24"/>
  <c r="X218" i="24" s="1"/>
  <c r="AA218" i="24" s="1"/>
  <c r="AB218" i="24" s="1"/>
  <c r="AC218" i="24" s="1"/>
  <c r="O140" i="24"/>
  <c r="BY140" i="24" s="1"/>
  <c r="J262" i="24"/>
  <c r="AE262" i="24" s="1"/>
  <c r="AF262" i="24" s="1"/>
  <c r="O265" i="24"/>
  <c r="O164" i="24"/>
  <c r="BY164" i="24" s="1"/>
  <c r="O235" i="24"/>
  <c r="O221" i="24"/>
  <c r="O118" i="24"/>
  <c r="BY118" i="24" s="1"/>
  <c r="J282" i="24"/>
  <c r="X282" i="24" s="1"/>
  <c r="AA282" i="24" s="1"/>
  <c r="AB282" i="24" s="1"/>
  <c r="AC282" i="24" s="1"/>
  <c r="O316" i="24"/>
  <c r="O126" i="24"/>
  <c r="BY126" i="24" s="1"/>
  <c r="O223" i="24"/>
  <c r="O298" i="24"/>
  <c r="O124" i="24"/>
  <c r="BY124" i="24" s="1"/>
  <c r="O175" i="24"/>
  <c r="BY175" i="24" s="1"/>
  <c r="O267" i="24"/>
  <c r="O178" i="24"/>
  <c r="BY178" i="24" s="1"/>
  <c r="O257" i="24"/>
  <c r="J133" i="24"/>
  <c r="AI133" i="24" s="1"/>
  <c r="J117" i="24"/>
  <c r="AI117" i="24" s="1"/>
  <c r="O234" i="24"/>
  <c r="O295" i="24"/>
  <c r="J114" i="24"/>
  <c r="AI114" i="24" s="1"/>
  <c r="J151" i="24"/>
  <c r="AI151" i="24" s="1"/>
  <c r="O269" i="24"/>
  <c r="O231" i="24"/>
  <c r="O242" i="24"/>
  <c r="J166" i="24"/>
  <c r="AI166" i="24" s="1"/>
  <c r="O121" i="24"/>
  <c r="BY121" i="24" s="1"/>
  <c r="J277" i="24"/>
  <c r="AE277" i="24" s="1"/>
  <c r="AF277" i="24" s="1"/>
  <c r="J271" i="24"/>
  <c r="AE271" i="24" s="1"/>
  <c r="AF271" i="24" s="1"/>
  <c r="J204" i="24"/>
  <c r="AI204" i="24" s="1"/>
  <c r="J156" i="24"/>
  <c r="AI156" i="24" s="1"/>
  <c r="J144" i="24"/>
  <c r="AI144" i="24" s="1"/>
  <c r="J209" i="24"/>
  <c r="AI209" i="24" s="1"/>
  <c r="J120" i="24"/>
  <c r="AI120" i="24" s="1"/>
  <c r="J296" i="24"/>
  <c r="X296" i="24" s="1"/>
  <c r="AA296" i="24" s="1"/>
  <c r="AB296" i="24" s="1"/>
  <c r="AC296" i="24" s="1"/>
  <c r="J285" i="24"/>
  <c r="AI285" i="24" s="1"/>
  <c r="J168" i="24"/>
  <c r="AI168" i="24" s="1"/>
  <c r="J268" i="24"/>
  <c r="AI268" i="24" s="1"/>
  <c r="O160" i="24"/>
  <c r="BY160" i="24" s="1"/>
  <c r="J297" i="24"/>
  <c r="AI297" i="24" s="1"/>
  <c r="J146" i="24"/>
  <c r="AI146" i="24" s="1"/>
  <c r="O251" i="24"/>
  <c r="O129" i="24"/>
  <c r="BY129" i="24" s="1"/>
  <c r="J247" i="24"/>
  <c r="X247" i="24" s="1"/>
  <c r="AA247" i="24" s="1"/>
  <c r="AB247" i="24" s="1"/>
  <c r="AC247" i="24" s="1"/>
  <c r="O304" i="24"/>
  <c r="J253" i="24"/>
  <c r="AI253" i="24" s="1"/>
  <c r="O317" i="24"/>
  <c r="J226" i="24"/>
  <c r="W226" i="24" s="1"/>
  <c r="Y226" i="24" s="1"/>
  <c r="O287" i="24"/>
  <c r="J239" i="24"/>
  <c r="X239" i="24" s="1"/>
  <c r="AA239" i="24" s="1"/>
  <c r="AB239" i="24" s="1"/>
  <c r="AC239" i="24" s="1"/>
  <c r="J189" i="24"/>
  <c r="AI189" i="24" s="1"/>
  <c r="J314" i="24"/>
  <c r="X314" i="24" s="1"/>
  <c r="AA314" i="24" s="1"/>
  <c r="AB314" i="24" s="1"/>
  <c r="AC314" i="24" s="1"/>
  <c r="J233" i="24"/>
  <c r="AI233" i="24" s="1"/>
  <c r="J270" i="24"/>
  <c r="AI270" i="24" s="1"/>
  <c r="J256" i="24"/>
  <c r="AI256" i="24" s="1"/>
  <c r="J264" i="24"/>
  <c r="AI264" i="24" s="1"/>
  <c r="J299" i="24"/>
  <c r="AE299" i="24" s="1"/>
  <c r="AF299" i="24" s="1"/>
  <c r="J309" i="24"/>
  <c r="X309" i="24" s="1"/>
  <c r="AA309" i="24" s="1"/>
  <c r="AB309" i="24" s="1"/>
  <c r="AC309" i="24" s="1"/>
  <c r="J243" i="24"/>
  <c r="AI243" i="24" s="1"/>
  <c r="O260" i="24"/>
  <c r="O259" i="24"/>
  <c r="O229" i="24"/>
  <c r="O293" i="24"/>
  <c r="O240" i="24"/>
  <c r="O272" i="24"/>
  <c r="O127" i="24"/>
  <c r="BY127" i="24" s="1"/>
  <c r="O301" i="24"/>
  <c r="O274" i="24"/>
  <c r="O111" i="24"/>
  <c r="BY111" i="24" s="1"/>
  <c r="O273" i="24"/>
  <c r="O230" i="24"/>
  <c r="O294" i="24"/>
  <c r="J232" i="24"/>
  <c r="AI232" i="24" s="1"/>
  <c r="J307" i="24"/>
  <c r="AE307" i="24" s="1"/>
  <c r="AF307" i="24" s="1"/>
  <c r="J174" i="24"/>
  <c r="AI174" i="24" s="1"/>
  <c r="J250" i="24"/>
  <c r="X250" i="24" s="1"/>
  <c r="AA250" i="24" s="1"/>
  <c r="AB250" i="24" s="1"/>
  <c r="AC250" i="24" s="1"/>
  <c r="J153" i="24"/>
  <c r="AE153" i="24" s="1"/>
  <c r="AF153" i="24" s="1"/>
  <c r="J113" i="24"/>
  <c r="AI113" i="24" s="1"/>
  <c r="BY86" i="24"/>
  <c r="BY46" i="24"/>
  <c r="BY73" i="24"/>
  <c r="BY41" i="24"/>
  <c r="BY42" i="24"/>
  <c r="BY56" i="24"/>
  <c r="BY21" i="24"/>
  <c r="BY50" i="24"/>
  <c r="BY53" i="24"/>
  <c r="BY89" i="24"/>
  <c r="BY64" i="24"/>
  <c r="BY29" i="24"/>
  <c r="BY60" i="24"/>
  <c r="BY70" i="24"/>
  <c r="BY54" i="24"/>
  <c r="BY69" i="24"/>
  <c r="BY101" i="24"/>
  <c r="BY68" i="24"/>
  <c r="BY33" i="24"/>
  <c r="BY25" i="24"/>
  <c r="BY72" i="24"/>
  <c r="BY18" i="24"/>
  <c r="BY82" i="24"/>
  <c r="BY32" i="24"/>
  <c r="BY96" i="24"/>
  <c r="BY97" i="24"/>
  <c r="BY78" i="24"/>
  <c r="BY85" i="24"/>
  <c r="BY92" i="24"/>
  <c r="BY36" i="24"/>
  <c r="BY100" i="24"/>
  <c r="BY105" i="24"/>
  <c r="BY40" i="24"/>
  <c r="BY28" i="24"/>
  <c r="BY104" i="24"/>
  <c r="BY63" i="24"/>
  <c r="BY19" i="24"/>
  <c r="BY79" i="24"/>
  <c r="J196" i="24"/>
  <c r="AI196" i="24" s="1"/>
  <c r="O196" i="24"/>
  <c r="BY196" i="24" s="1"/>
  <c r="J145" i="24"/>
  <c r="X145" i="24" s="1"/>
  <c r="AA145" i="24" s="1"/>
  <c r="AB145" i="24" s="1"/>
  <c r="AC145" i="24" s="1"/>
  <c r="O145" i="24"/>
  <c r="BY145" i="24" s="1"/>
  <c r="J150" i="24"/>
  <c r="X150" i="24" s="1"/>
  <c r="AA150" i="24" s="1"/>
  <c r="AB150" i="24" s="1"/>
  <c r="AC150" i="24" s="1"/>
  <c r="O150" i="24"/>
  <c r="BY150" i="24" s="1"/>
  <c r="J136" i="24"/>
  <c r="AE136" i="24" s="1"/>
  <c r="AF136" i="24" s="1"/>
  <c r="O136" i="24"/>
  <c r="BY136" i="24" s="1"/>
  <c r="J181" i="24"/>
  <c r="AE181" i="24" s="1"/>
  <c r="AF181" i="24" s="1"/>
  <c r="O181" i="24"/>
  <c r="BY181" i="24" s="1"/>
  <c r="J149" i="24"/>
  <c r="AI149" i="24" s="1"/>
  <c r="O149" i="24"/>
  <c r="BY149" i="24" s="1"/>
  <c r="J186" i="24"/>
  <c r="AI186" i="24" s="1"/>
  <c r="O186" i="24"/>
  <c r="BY186" i="24" s="1"/>
  <c r="J122" i="24"/>
  <c r="W122" i="24" s="1"/>
  <c r="Y122" i="24" s="1"/>
  <c r="O122" i="24"/>
  <c r="BY122" i="24" s="1"/>
  <c r="J128" i="24"/>
  <c r="X128" i="24" s="1"/>
  <c r="AA128" i="24" s="1"/>
  <c r="AB128" i="24" s="1"/>
  <c r="AC128" i="24" s="1"/>
  <c r="O128" i="24"/>
  <c r="BY128" i="24" s="1"/>
  <c r="J163" i="24"/>
  <c r="AI163" i="24" s="1"/>
  <c r="O163" i="24"/>
  <c r="BY163" i="24" s="1"/>
  <c r="J208" i="24"/>
  <c r="AE208" i="24" s="1"/>
  <c r="AF208" i="24" s="1"/>
  <c r="O208" i="24"/>
  <c r="BY208" i="24" s="1"/>
  <c r="J141" i="24"/>
  <c r="X141" i="24" s="1"/>
  <c r="AA141" i="24" s="1"/>
  <c r="AB141" i="24" s="1"/>
  <c r="AC141" i="24" s="1"/>
  <c r="O141" i="24"/>
  <c r="BY141" i="24" s="1"/>
  <c r="J179" i="24"/>
  <c r="X179" i="24" s="1"/>
  <c r="AA179" i="24" s="1"/>
  <c r="AB179" i="24" s="1"/>
  <c r="AC179" i="24" s="1"/>
  <c r="O179" i="24"/>
  <c r="BY179" i="24" s="1"/>
  <c r="BY23" i="24"/>
  <c r="BY91" i="24"/>
  <c r="J201" i="24"/>
  <c r="W201" i="24" s="1"/>
  <c r="O201" i="24"/>
  <c r="BY201" i="24" s="1"/>
  <c r="J155" i="24"/>
  <c r="AE155" i="24" s="1"/>
  <c r="AF155" i="24" s="1"/>
  <c r="O155" i="24"/>
  <c r="BY155" i="24" s="1"/>
  <c r="J131" i="24"/>
  <c r="AI131" i="24" s="1"/>
  <c r="O131" i="24"/>
  <c r="BY131" i="24" s="1"/>
  <c r="J184" i="24"/>
  <c r="X184" i="24" s="1"/>
  <c r="AA184" i="24" s="1"/>
  <c r="AB184" i="24" s="1"/>
  <c r="AC184" i="24" s="1"/>
  <c r="O184" i="24"/>
  <c r="BY184" i="24" s="1"/>
  <c r="J112" i="24"/>
  <c r="W112" i="24" s="1"/>
  <c r="O112" i="24"/>
  <c r="BY112" i="24" s="1"/>
  <c r="J154" i="24"/>
  <c r="X154" i="24" s="1"/>
  <c r="AA154" i="24" s="1"/>
  <c r="AB154" i="24" s="1"/>
  <c r="AC154" i="24" s="1"/>
  <c r="O154" i="24"/>
  <c r="BY154" i="24" s="1"/>
  <c r="J172" i="24"/>
  <c r="W172" i="24" s="1"/>
  <c r="O172" i="24"/>
  <c r="BY172" i="24" s="1"/>
  <c r="J115" i="24"/>
  <c r="AE115" i="24" s="1"/>
  <c r="AF115" i="24" s="1"/>
  <c r="O115" i="24"/>
  <c r="BY115" i="24" s="1"/>
  <c r="J183" i="24"/>
  <c r="X183" i="24" s="1"/>
  <c r="AA183" i="24" s="1"/>
  <c r="AB183" i="24" s="1"/>
  <c r="AC183" i="24" s="1"/>
  <c r="O183" i="24"/>
  <c r="BY183" i="24" s="1"/>
  <c r="J187" i="24"/>
  <c r="AE187" i="24" s="1"/>
  <c r="AF187" i="24" s="1"/>
  <c r="O187" i="24"/>
  <c r="BY187" i="24" s="1"/>
  <c r="J119" i="24"/>
  <c r="AI119" i="24" s="1"/>
  <c r="O119" i="24"/>
  <c r="BY119" i="24" s="1"/>
  <c r="J116" i="24"/>
  <c r="AE116" i="24" s="1"/>
  <c r="AF116" i="24" s="1"/>
  <c r="O116" i="24"/>
  <c r="BY116" i="24" s="1"/>
  <c r="BY87" i="24"/>
  <c r="BY31" i="24"/>
  <c r="BY27" i="24"/>
  <c r="BY83" i="24"/>
  <c r="BY14" i="24"/>
  <c r="BY10" i="24"/>
  <c r="BY74" i="24"/>
  <c r="J148" i="24"/>
  <c r="W148" i="24" s="1"/>
  <c r="Y148" i="24" s="1"/>
  <c r="O148" i="24"/>
  <c r="BY148" i="24" s="1"/>
  <c r="J177" i="24"/>
  <c r="AI177" i="24" s="1"/>
  <c r="O177" i="24"/>
  <c r="BY177" i="24" s="1"/>
  <c r="J210" i="24"/>
  <c r="W210" i="24" s="1"/>
  <c r="O210" i="24"/>
  <c r="BY210" i="24" s="1"/>
  <c r="J123" i="24"/>
  <c r="W123" i="24" s="1"/>
  <c r="O123" i="24"/>
  <c r="BY123" i="24" s="1"/>
  <c r="J134" i="24"/>
  <c r="AI134" i="24" s="1"/>
  <c r="O134" i="24"/>
  <c r="BY134" i="24" s="1"/>
  <c r="J182" i="24"/>
  <c r="X182" i="24" s="1"/>
  <c r="AA182" i="24" s="1"/>
  <c r="AB182" i="24" s="1"/>
  <c r="AC182" i="24" s="1"/>
  <c r="O182" i="24"/>
  <c r="BY182" i="24" s="1"/>
  <c r="J199" i="24"/>
  <c r="AI199" i="24" s="1"/>
  <c r="O199" i="24"/>
  <c r="BY199" i="24" s="1"/>
  <c r="J152" i="24"/>
  <c r="AI152" i="24" s="1"/>
  <c r="O152" i="24"/>
  <c r="BY152" i="24" s="1"/>
  <c r="J157" i="24"/>
  <c r="AE157" i="24" s="1"/>
  <c r="AF157" i="24" s="1"/>
  <c r="O157" i="24"/>
  <c r="BY157" i="24" s="1"/>
  <c r="J205" i="24"/>
  <c r="X205" i="24" s="1"/>
  <c r="AA205" i="24" s="1"/>
  <c r="AB205" i="24" s="1"/>
  <c r="AC205" i="24" s="1"/>
  <c r="O205" i="24"/>
  <c r="BY205" i="24" s="1"/>
  <c r="J159" i="24"/>
  <c r="AI159" i="24" s="1"/>
  <c r="O159" i="24"/>
  <c r="BY159" i="24" s="1"/>
  <c r="J167" i="24"/>
  <c r="AI167" i="24" s="1"/>
  <c r="O167" i="24"/>
  <c r="BY167" i="24" s="1"/>
  <c r="J170" i="24"/>
  <c r="X170" i="24" s="1"/>
  <c r="AA170" i="24" s="1"/>
  <c r="AB170" i="24" s="1"/>
  <c r="AC170" i="24" s="1"/>
  <c r="O170" i="24"/>
  <c r="BY170" i="24" s="1"/>
  <c r="J207" i="24"/>
  <c r="AE207" i="24" s="1"/>
  <c r="AF207" i="24" s="1"/>
  <c r="O207" i="24"/>
  <c r="BY207" i="24" s="1"/>
  <c r="J188" i="24"/>
  <c r="AI188" i="24" s="1"/>
  <c r="O188" i="24"/>
  <c r="BY188" i="24" s="1"/>
  <c r="J161" i="24"/>
  <c r="AI161" i="24" s="1"/>
  <c r="O161" i="24"/>
  <c r="BY161" i="24" s="1"/>
  <c r="J194" i="24"/>
  <c r="AI194" i="24" s="1"/>
  <c r="O194" i="24"/>
  <c r="BY194" i="24" s="1"/>
  <c r="J137" i="24"/>
  <c r="X137" i="24" s="1"/>
  <c r="AA137" i="24" s="1"/>
  <c r="AB137" i="24" s="1"/>
  <c r="AC137" i="24" s="1"/>
  <c r="O137" i="24"/>
  <c r="BY137" i="24" s="1"/>
  <c r="J142" i="24"/>
  <c r="X142" i="24" s="1"/>
  <c r="AA142" i="24" s="1"/>
  <c r="AB142" i="24" s="1"/>
  <c r="AC142" i="24" s="1"/>
  <c r="O142" i="24"/>
  <c r="BY142" i="24" s="1"/>
  <c r="J125" i="24"/>
  <c r="AI125" i="24" s="1"/>
  <c r="O125" i="24"/>
  <c r="BY125" i="24" s="1"/>
  <c r="J192" i="24"/>
  <c r="AI192" i="24" s="1"/>
  <c r="O192" i="24"/>
  <c r="BY192" i="24" s="1"/>
  <c r="J169" i="24"/>
  <c r="AE169" i="24" s="1"/>
  <c r="AF169" i="24" s="1"/>
  <c r="O169" i="24"/>
  <c r="BY169" i="24" s="1"/>
  <c r="J206" i="24"/>
  <c r="AI206" i="24" s="1"/>
  <c r="O206" i="24"/>
  <c r="BY206" i="24" s="1"/>
  <c r="J165" i="24"/>
  <c r="X165" i="24" s="1"/>
  <c r="AA165" i="24" s="1"/>
  <c r="AB165" i="24" s="1"/>
  <c r="AC165" i="24" s="1"/>
  <c r="O165" i="24"/>
  <c r="BY165" i="24" s="1"/>
  <c r="J162" i="24"/>
  <c r="AI162" i="24" s="1"/>
  <c r="O162" i="24"/>
  <c r="BY162" i="24" s="1"/>
  <c r="J203" i="24"/>
  <c r="AE203" i="24" s="1"/>
  <c r="AF203" i="24" s="1"/>
  <c r="O203" i="24"/>
  <c r="BY203" i="24" s="1"/>
  <c r="BY55" i="24"/>
  <c r="BY95" i="24"/>
  <c r="BY59" i="24"/>
  <c r="BY51" i="24"/>
  <c r="J46" i="24"/>
  <c r="AE46" i="24" s="1"/>
  <c r="AF46" i="24" s="1"/>
  <c r="J64" i="24"/>
  <c r="AE64" i="24" s="1"/>
  <c r="AF64" i="24" s="1"/>
  <c r="J95" i="24"/>
  <c r="AI95" i="24" s="1"/>
  <c r="J59" i="24"/>
  <c r="AE59" i="24" s="1"/>
  <c r="AF59" i="24" s="1"/>
  <c r="J54" i="24"/>
  <c r="AE54" i="24" s="1"/>
  <c r="AF54" i="24" s="1"/>
  <c r="J73" i="24"/>
  <c r="X73" i="24" s="1"/>
  <c r="AA73" i="24" s="1"/>
  <c r="AB73" i="24" s="1"/>
  <c r="AC73" i="24" s="1"/>
  <c r="J56" i="24"/>
  <c r="X56" i="24" s="1"/>
  <c r="AA56" i="24" s="1"/>
  <c r="AB56" i="24" s="1"/>
  <c r="AC56" i="24" s="1"/>
  <c r="J14" i="24"/>
  <c r="X14" i="24" s="1"/>
  <c r="AA14" i="24" s="1"/>
  <c r="AB14" i="24" s="1"/>
  <c r="AC14" i="24" s="1"/>
  <c r="J78" i="24"/>
  <c r="X78" i="24" s="1"/>
  <c r="AA78" i="24" s="1"/>
  <c r="AB78" i="24" s="1"/>
  <c r="AC78" i="24" s="1"/>
  <c r="J23" i="24"/>
  <c r="AI23" i="24" s="1"/>
  <c r="J87" i="24"/>
  <c r="AE87" i="24" s="1"/>
  <c r="AF87" i="24" s="1"/>
  <c r="J32" i="24"/>
  <c r="AI32" i="24" s="1"/>
  <c r="J96" i="24"/>
  <c r="W96" i="24" s="1"/>
  <c r="J97" i="24"/>
  <c r="W97" i="24" s="1"/>
  <c r="Y97" i="24" s="1"/>
  <c r="J31" i="24"/>
  <c r="AE31" i="24" s="1"/>
  <c r="AF31" i="24" s="1"/>
  <c r="J40" i="24"/>
  <c r="AE40" i="24" s="1"/>
  <c r="AF40" i="24" s="1"/>
  <c r="J18" i="24"/>
  <c r="AE18" i="24" s="1"/>
  <c r="AF18" i="24" s="1"/>
  <c r="J82" i="24"/>
  <c r="AE82" i="24" s="1"/>
  <c r="AF82" i="24" s="1"/>
  <c r="J27" i="24"/>
  <c r="AI27" i="24" s="1"/>
  <c r="J91" i="24"/>
  <c r="X91" i="24" s="1"/>
  <c r="AA91" i="24" s="1"/>
  <c r="AB91" i="24" s="1"/>
  <c r="AC91" i="24" s="1"/>
  <c r="J36" i="24"/>
  <c r="AI36" i="24" s="1"/>
  <c r="J100" i="24"/>
  <c r="AI100" i="24" s="1"/>
  <c r="J105" i="24"/>
  <c r="AI105" i="24" s="1"/>
  <c r="J63" i="24"/>
  <c r="AE63" i="24" s="1"/>
  <c r="AF63" i="24" s="1"/>
  <c r="J10" i="24"/>
  <c r="AI10" i="24" s="1"/>
  <c r="J74" i="24"/>
  <c r="X74" i="24" s="1"/>
  <c r="AA74" i="24" s="1"/>
  <c r="AB74" i="24" s="1"/>
  <c r="AC74" i="24" s="1"/>
  <c r="J19" i="24"/>
  <c r="AE19" i="24" s="1"/>
  <c r="AF19" i="24" s="1"/>
  <c r="J83" i="24"/>
  <c r="X83" i="24" s="1"/>
  <c r="AA83" i="24" s="1"/>
  <c r="AB83" i="24" s="1"/>
  <c r="AC83" i="24" s="1"/>
  <c r="J28" i="24"/>
  <c r="AE28" i="24" s="1"/>
  <c r="AF28" i="24" s="1"/>
  <c r="J92" i="24"/>
  <c r="AE92" i="24" s="1"/>
  <c r="AF92" i="24" s="1"/>
  <c r="J85" i="24"/>
  <c r="X85" i="24" s="1"/>
  <c r="AA85" i="24" s="1"/>
  <c r="AB85" i="24" s="1"/>
  <c r="AC85" i="24" s="1"/>
  <c r="J79" i="24"/>
  <c r="AE79" i="24" s="1"/>
  <c r="AF79" i="24" s="1"/>
  <c r="J53" i="24"/>
  <c r="X53" i="24" s="1"/>
  <c r="AA53" i="24" s="1"/>
  <c r="AB53" i="24" s="1"/>
  <c r="AC53" i="24" s="1"/>
  <c r="J89" i="24"/>
  <c r="AE89" i="24" s="1"/>
  <c r="AF89" i="24" s="1"/>
  <c r="J70" i="24"/>
  <c r="AI70" i="24" s="1"/>
  <c r="J21" i="24"/>
  <c r="W21" i="24" s="1"/>
  <c r="J69" i="24"/>
  <c r="AI69" i="24" s="1"/>
  <c r="J101" i="24"/>
  <c r="X101" i="24" s="1"/>
  <c r="AA101" i="24" s="1"/>
  <c r="AB101" i="24" s="1"/>
  <c r="AC101" i="24" s="1"/>
  <c r="J33" i="24"/>
  <c r="W33" i="24" s="1"/>
  <c r="J42" i="24"/>
  <c r="AI42" i="24" s="1"/>
  <c r="J41" i="24"/>
  <c r="AE41" i="24" s="1"/>
  <c r="AF41" i="24" s="1"/>
  <c r="J60" i="24"/>
  <c r="AI60" i="24" s="1"/>
  <c r="J86" i="24"/>
  <c r="X86" i="24" s="1"/>
  <c r="AA86" i="24" s="1"/>
  <c r="AB86" i="24" s="1"/>
  <c r="AC86" i="24" s="1"/>
  <c r="J55" i="24"/>
  <c r="W55" i="24" s="1"/>
  <c r="Y55" i="24" s="1"/>
  <c r="J29" i="24"/>
  <c r="AE29" i="24" s="1"/>
  <c r="AF29" i="24" s="1"/>
  <c r="J50" i="24"/>
  <c r="AI50" i="24" s="1"/>
  <c r="J68" i="24"/>
  <c r="AE68" i="24" s="1"/>
  <c r="AF68" i="24" s="1"/>
  <c r="J72" i="24"/>
  <c r="AE72" i="24" s="1"/>
  <c r="AF72" i="24" s="1"/>
  <c r="J51" i="24"/>
  <c r="AE51" i="24" s="1"/>
  <c r="AF51" i="24" s="1"/>
  <c r="J25" i="24"/>
  <c r="AI25" i="24" s="1"/>
  <c r="J104" i="24"/>
  <c r="AI104" i="24" s="1"/>
  <c r="P110" i="24"/>
  <c r="F212" i="24" s="1"/>
  <c r="Q110" i="24"/>
  <c r="Q27" i="24"/>
  <c r="R27" i="24" s="1"/>
  <c r="Q70" i="24"/>
  <c r="R70" i="24" s="1"/>
  <c r="Q79" i="24"/>
  <c r="R79" i="24" s="1"/>
  <c r="Q53" i="24"/>
  <c r="R53" i="24" s="1"/>
  <c r="Q23" i="24"/>
  <c r="R23" i="24" s="1"/>
  <c r="Q32" i="24"/>
  <c r="R32" i="24" s="1"/>
  <c r="Q97" i="24"/>
  <c r="Q59" i="24"/>
  <c r="Q86" i="24"/>
  <c r="Q95" i="24"/>
  <c r="R95" i="24" s="1"/>
  <c r="Q104" i="24"/>
  <c r="R104" i="24" s="1"/>
  <c r="Q33" i="24"/>
  <c r="Q41" i="24"/>
  <c r="R41" i="24" s="1"/>
  <c r="Q51" i="24"/>
  <c r="Q73" i="24"/>
  <c r="R73" i="24" s="1"/>
  <c r="Q25" i="24"/>
  <c r="R25" i="24" s="1"/>
  <c r="Q78" i="24"/>
  <c r="R78" i="24" s="1"/>
  <c r="Q101" i="24"/>
  <c r="R101" i="24" s="1"/>
  <c r="Q21" i="24"/>
  <c r="R21" i="24" s="1"/>
  <c r="Q100" i="24"/>
  <c r="R100" i="24" s="1"/>
  <c r="Q55" i="24"/>
  <c r="Q64" i="24"/>
  <c r="R64" i="24" s="1"/>
  <c r="Q68" i="24"/>
  <c r="R68" i="24" s="1"/>
  <c r="Q54" i="24"/>
  <c r="Q63" i="24"/>
  <c r="R63" i="24" s="1"/>
  <c r="Q69" i="24"/>
  <c r="R69" i="24" s="1"/>
  <c r="Q10" i="24"/>
  <c r="R10" i="24" s="1"/>
  <c r="Q19" i="24"/>
  <c r="Q28" i="24"/>
  <c r="R28" i="24" s="1"/>
  <c r="Q85" i="24"/>
  <c r="R85" i="24" s="1"/>
  <c r="Q105" i="24"/>
  <c r="P41" i="24"/>
  <c r="P27" i="24"/>
  <c r="T30" i="24"/>
  <c r="O30" i="24" s="1"/>
  <c r="BY30" i="24" s="1"/>
  <c r="P78" i="24"/>
  <c r="T39" i="24"/>
  <c r="O39" i="24" s="1"/>
  <c r="BY39" i="24" s="1"/>
  <c r="T48" i="24"/>
  <c r="O48" i="24" s="1"/>
  <c r="BY48" i="24" s="1"/>
  <c r="T38" i="24"/>
  <c r="O38" i="24" s="1"/>
  <c r="BY38" i="24" s="1"/>
  <c r="T88" i="24"/>
  <c r="O88" i="24" s="1"/>
  <c r="BY88" i="24" s="1"/>
  <c r="T98" i="24"/>
  <c r="O98" i="24" s="1"/>
  <c r="BY98" i="24" s="1"/>
  <c r="T37" i="24"/>
  <c r="O37" i="24" s="1"/>
  <c r="BY37" i="24" s="1"/>
  <c r="T17" i="24"/>
  <c r="O17" i="24" s="1"/>
  <c r="BY17" i="24" s="1"/>
  <c r="T61" i="24"/>
  <c r="O61" i="24" s="1"/>
  <c r="BY61" i="24" s="1"/>
  <c r="T90" i="24"/>
  <c r="O90" i="24" s="1"/>
  <c r="BY90" i="24" s="1"/>
  <c r="T99" i="24"/>
  <c r="O99" i="24" s="1"/>
  <c r="BY99" i="24" s="1"/>
  <c r="T9" i="24"/>
  <c r="O9" i="24" s="1"/>
  <c r="BY9" i="24" s="1"/>
  <c r="T8" i="24"/>
  <c r="O8" i="24" s="1"/>
  <c r="BY8" i="24" s="1"/>
  <c r="T7" i="24"/>
  <c r="O7" i="24" s="1"/>
  <c r="BY7" i="24" s="1"/>
  <c r="T16" i="24"/>
  <c r="O16" i="24" s="1"/>
  <c r="BY16" i="24" s="1"/>
  <c r="T57" i="24"/>
  <c r="O57" i="24" s="1"/>
  <c r="BY57" i="24" s="1"/>
  <c r="T24" i="24"/>
  <c r="O24" i="24" s="1"/>
  <c r="BY24" i="24" s="1"/>
  <c r="T66" i="24"/>
  <c r="O66" i="24" s="1"/>
  <c r="BY66" i="24" s="1"/>
  <c r="T75" i="24"/>
  <c r="O75" i="24" s="1"/>
  <c r="BY75" i="24" s="1"/>
  <c r="T84" i="24"/>
  <c r="O84" i="24" s="1"/>
  <c r="BY84" i="24" s="1"/>
  <c r="T81" i="24"/>
  <c r="O81" i="24" s="1"/>
  <c r="BY81" i="24" s="1"/>
  <c r="T58" i="24"/>
  <c r="O58" i="24" s="1"/>
  <c r="BY58" i="24" s="1"/>
  <c r="T67" i="24"/>
  <c r="O67" i="24" s="1"/>
  <c r="BY67" i="24" s="1"/>
  <c r="T76" i="24"/>
  <c r="O76" i="24" s="1"/>
  <c r="BY76" i="24" s="1"/>
  <c r="T15" i="24"/>
  <c r="O15" i="24" s="1"/>
  <c r="BY15" i="24" s="1"/>
  <c r="T94" i="24"/>
  <c r="O94" i="24" s="1"/>
  <c r="BY94" i="24" s="1"/>
  <c r="T103" i="24"/>
  <c r="O103" i="24" s="1"/>
  <c r="BY103" i="24" s="1"/>
  <c r="T13" i="24"/>
  <c r="O13" i="24" s="1"/>
  <c r="BY13" i="24" s="1"/>
  <c r="T47" i="24"/>
  <c r="O47" i="24" s="1"/>
  <c r="BY47" i="24" s="1"/>
  <c r="T34" i="24"/>
  <c r="O34" i="24" s="1"/>
  <c r="BY34" i="24" s="1"/>
  <c r="T43" i="24"/>
  <c r="O43" i="24" s="1"/>
  <c r="BY43" i="24" s="1"/>
  <c r="T52" i="24"/>
  <c r="O52" i="24" s="1"/>
  <c r="BY52" i="24" s="1"/>
  <c r="T6" i="24"/>
  <c r="O6" i="24" s="1"/>
  <c r="BY6" i="24" s="1"/>
  <c r="T26" i="24"/>
  <c r="O26" i="24" s="1"/>
  <c r="BY26" i="24" s="1"/>
  <c r="T35" i="24"/>
  <c r="O35" i="24" s="1"/>
  <c r="BY35" i="24" s="1"/>
  <c r="T44" i="24"/>
  <c r="O44" i="24" s="1"/>
  <c r="BY44" i="24" s="1"/>
  <c r="T22" i="24"/>
  <c r="O22" i="24" s="1"/>
  <c r="BY22" i="24" s="1"/>
  <c r="P79" i="24"/>
  <c r="P28" i="24"/>
  <c r="T62" i="24"/>
  <c r="O62" i="24" s="1"/>
  <c r="BY62" i="24" s="1"/>
  <c r="AP53" i="24"/>
  <c r="T71" i="24"/>
  <c r="O71" i="24" s="1"/>
  <c r="BY71" i="24" s="1"/>
  <c r="T80" i="24"/>
  <c r="O80" i="24" s="1"/>
  <c r="BY80" i="24" s="1"/>
  <c r="T102" i="24"/>
  <c r="O102" i="24" s="1"/>
  <c r="BY102" i="24" s="1"/>
  <c r="T77" i="24"/>
  <c r="O77" i="24" s="1"/>
  <c r="BY77" i="24" s="1"/>
  <c r="T11" i="24"/>
  <c r="O11" i="24" s="1"/>
  <c r="BY11" i="24" s="1"/>
  <c r="T20" i="24"/>
  <c r="O20" i="24" s="1"/>
  <c r="BY20" i="24" s="1"/>
  <c r="T65" i="24"/>
  <c r="O65" i="24" s="1"/>
  <c r="BY65" i="24" s="1"/>
  <c r="T45" i="24"/>
  <c r="O45" i="24" s="1"/>
  <c r="BY45" i="24" s="1"/>
  <c r="T93" i="24"/>
  <c r="O93" i="24" s="1"/>
  <c r="BY93" i="24" s="1"/>
  <c r="T12" i="24"/>
  <c r="O12" i="24" s="1"/>
  <c r="BY12" i="24" s="1"/>
  <c r="T49" i="24"/>
  <c r="O49" i="24" s="1"/>
  <c r="BY49" i="24" s="1"/>
  <c r="P53" i="24"/>
  <c r="P64" i="24"/>
  <c r="P68" i="24"/>
  <c r="P63" i="24"/>
  <c r="P10" i="24"/>
  <c r="AI5" i="24"/>
  <c r="R5" i="24"/>
  <c r="X110" i="24"/>
  <c r="AA110" i="24" s="1"/>
  <c r="AB110" i="24" s="1"/>
  <c r="AC110" i="24" s="1"/>
  <c r="AP110" i="24"/>
  <c r="AE5" i="24"/>
  <c r="AF5" i="24" s="1"/>
  <c r="R110" i="25"/>
  <c r="AO218" i="25"/>
  <c r="AP217" i="24"/>
  <c r="Q218" i="25"/>
  <c r="CE218" i="25" s="1"/>
  <c r="R218" i="25"/>
  <c r="K77" i="23"/>
  <c r="M77" i="23" s="1"/>
  <c r="CE113" i="25"/>
  <c r="X5" i="24"/>
  <c r="AA5" i="24" s="1"/>
  <c r="AB5" i="24" s="1"/>
  <c r="AC5" i="24" s="1"/>
  <c r="CE112" i="25"/>
  <c r="CE117" i="25"/>
  <c r="CE122" i="25"/>
  <c r="AO110" i="25"/>
  <c r="CE118" i="25"/>
  <c r="CE114" i="25"/>
  <c r="S110" i="25"/>
  <c r="K110" i="25" s="1"/>
  <c r="AD110" i="25" s="1"/>
  <c r="AE110" i="25" s="1"/>
  <c r="P217" i="24"/>
  <c r="CD217" i="24" s="1"/>
  <c r="B194" i="2"/>
  <c r="BZ103" i="25"/>
  <c r="BZ91" i="25"/>
  <c r="BZ102" i="25"/>
  <c r="BZ49" i="25"/>
  <c r="BZ90" i="25"/>
  <c r="BZ105" i="25"/>
  <c r="BZ101" i="25"/>
  <c r="BZ97" i="25"/>
  <c r="BZ93" i="25"/>
  <c r="BZ5" i="25"/>
  <c r="R5" i="25"/>
  <c r="BZ104" i="25"/>
  <c r="BZ96" i="25"/>
  <c r="BZ63" i="25"/>
  <c r="BZ47" i="25"/>
  <c r="BZ27" i="25"/>
  <c r="BZ77" i="25"/>
  <c r="BZ57" i="25"/>
  <c r="BZ25" i="25"/>
  <c r="BZ6" i="25"/>
  <c r="BZ69" i="25"/>
  <c r="BZ21" i="25"/>
  <c r="BZ35" i="25"/>
  <c r="BZ22" i="25"/>
  <c r="BZ60" i="25"/>
  <c r="BZ24" i="25"/>
  <c r="BZ38" i="25"/>
  <c r="BZ18" i="25"/>
  <c r="BZ71" i="25"/>
  <c r="BZ39" i="25"/>
  <c r="BZ65" i="25"/>
  <c r="BZ33" i="25"/>
  <c r="BZ43" i="25"/>
  <c r="BZ73" i="25"/>
  <c r="BZ17" i="25"/>
  <c r="BZ74" i="25"/>
  <c r="BZ34" i="25"/>
  <c r="S5" i="25"/>
  <c r="K5" i="25" s="1"/>
  <c r="AD5" i="25" s="1"/>
  <c r="AE5" i="25" s="1"/>
  <c r="BZ95" i="25"/>
  <c r="BZ94" i="25"/>
  <c r="BZ59" i="25"/>
  <c r="BZ9" i="25"/>
  <c r="BZ54" i="25"/>
  <c r="BZ100" i="25"/>
  <c r="BZ92" i="25"/>
  <c r="BZ83" i="25"/>
  <c r="BZ67" i="25"/>
  <c r="BZ51" i="25"/>
  <c r="BZ31" i="25"/>
  <c r="BZ15" i="25"/>
  <c r="BZ85" i="25"/>
  <c r="BZ61" i="25"/>
  <c r="BZ29" i="25"/>
  <c r="BZ82" i="25"/>
  <c r="BZ81" i="25"/>
  <c r="BZ41" i="25"/>
  <c r="BZ36" i="25"/>
  <c r="BZ26" i="25"/>
  <c r="BZ79" i="25"/>
  <c r="BZ10" i="25"/>
  <c r="BZ78" i="25"/>
  <c r="BZ62" i="25"/>
  <c r="BZ80" i="25"/>
  <c r="BZ64" i="25"/>
  <c r="BZ48" i="25"/>
  <c r="BZ28" i="25"/>
  <c r="BZ12" i="25"/>
  <c r="BZ42" i="25"/>
  <c r="BZ87" i="25"/>
  <c r="BZ55" i="25"/>
  <c r="BZ19" i="25"/>
  <c r="BZ13" i="25"/>
  <c r="BZ89" i="25"/>
  <c r="BZ45" i="25"/>
  <c r="BZ37" i="25"/>
  <c r="BZ75" i="25"/>
  <c r="BZ23" i="25"/>
  <c r="BZ76" i="25"/>
  <c r="BZ44" i="25"/>
  <c r="BZ58" i="25"/>
  <c r="Q5" i="25"/>
  <c r="BZ99" i="25"/>
  <c r="BZ53" i="25"/>
  <c r="BZ11" i="25"/>
  <c r="BZ7" i="25"/>
  <c r="BZ66" i="25"/>
  <c r="BZ84" i="25"/>
  <c r="BZ68" i="25"/>
  <c r="BZ52" i="25"/>
  <c r="BZ32" i="25"/>
  <c r="BZ16" i="25"/>
  <c r="BZ46" i="25"/>
  <c r="BZ8" i="25"/>
  <c r="BZ86" i="25"/>
  <c r="BZ70" i="25"/>
  <c r="BZ88" i="25"/>
  <c r="BZ72" i="25"/>
  <c r="BZ56" i="25"/>
  <c r="BZ40" i="25"/>
  <c r="BZ20" i="25"/>
  <c r="BZ50" i="25"/>
  <c r="BZ30" i="25"/>
  <c r="BZ14" i="25"/>
  <c r="BZ98" i="25"/>
  <c r="AO5" i="25"/>
  <c r="BK6" i="19"/>
  <c r="BB6" i="19"/>
  <c r="BH7" i="19"/>
  <c r="BF6" i="19"/>
  <c r="BK7" i="19"/>
  <c r="BS7" i="19"/>
  <c r="BF9" i="19"/>
  <c r="BH9" i="19"/>
  <c r="BD9" i="19"/>
  <c r="BA6" i="19"/>
  <c r="BI6" i="19"/>
  <c r="BD6" i="19"/>
  <c r="AZ7" i="19"/>
  <c r="BL7" i="19" s="1"/>
  <c r="BM7" i="19" s="1"/>
  <c r="BZ7" i="19" s="1"/>
  <c r="BG7" i="19"/>
  <c r="BJ7" i="19"/>
  <c r="BS6" i="19"/>
  <c r="AZ6" i="19"/>
  <c r="BL6" i="19" s="1"/>
  <c r="BM6" i="19" s="1"/>
  <c r="BZ6" i="19" s="1"/>
  <c r="BG6" i="19"/>
  <c r="BB7" i="19"/>
  <c r="BF7" i="19"/>
  <c r="BA7" i="19"/>
  <c r="BC6" i="19"/>
  <c r="BH6" i="19"/>
  <c r="BE6" i="19"/>
  <c r="BE7" i="19"/>
  <c r="BI7" i="19"/>
  <c r="BB9" i="19"/>
  <c r="BI9" i="19"/>
  <c r="BB8" i="19"/>
  <c r="BS8" i="19"/>
  <c r="BJ9" i="19"/>
  <c r="BS9" i="19"/>
  <c r="BK8" i="19"/>
  <c r="AZ9" i="19"/>
  <c r="BL9" i="19" s="1"/>
  <c r="BM9" i="19" s="1"/>
  <c r="BZ9" i="19" s="1"/>
  <c r="BD8" i="19"/>
  <c r="BE8" i="19"/>
  <c r="BG8" i="19"/>
  <c r="BE9" i="19"/>
  <c r="BA9" i="19"/>
  <c r="BG9" i="19"/>
  <c r="BH8" i="19"/>
  <c r="BI8" i="19"/>
  <c r="BF8" i="19"/>
  <c r="AZ8" i="19"/>
  <c r="BL8" i="19" s="1"/>
  <c r="BM8" i="19" s="1"/>
  <c r="BZ8" i="19" s="1"/>
  <c r="BK9" i="19"/>
  <c r="BC9" i="19"/>
  <c r="BA8" i="19"/>
  <c r="BJ8" i="19"/>
  <c r="AD218" i="25"/>
  <c r="AE218" i="25" s="1"/>
  <c r="W218" i="25"/>
  <c r="Z218" i="25" s="1"/>
  <c r="AA218" i="25" s="1"/>
  <c r="AB218" i="25" s="1"/>
  <c r="V218" i="25"/>
  <c r="X218" i="25" s="1"/>
  <c r="AD291" i="25"/>
  <c r="AE291" i="25" s="1"/>
  <c r="W291" i="25"/>
  <c r="Z291" i="25" s="1"/>
  <c r="AA291" i="25" s="1"/>
  <c r="AB291" i="25" s="1"/>
  <c r="AO268" i="25"/>
  <c r="U205" i="25"/>
  <c r="AD249" i="25"/>
  <c r="AE249" i="25" s="1"/>
  <c r="AO182" i="25"/>
  <c r="AO185" i="25"/>
  <c r="AO153" i="25"/>
  <c r="AO275" i="25"/>
  <c r="U221" i="25"/>
  <c r="AO83" i="25"/>
  <c r="AO85" i="25"/>
  <c r="AO29" i="25"/>
  <c r="W66" i="25"/>
  <c r="Z66" i="25" s="1"/>
  <c r="AA66" i="25" s="1"/>
  <c r="AB66" i="25" s="1"/>
  <c r="AD66" i="25"/>
  <c r="AE66" i="25" s="1"/>
  <c r="W68" i="25"/>
  <c r="Z68" i="25" s="1"/>
  <c r="AA68" i="25" s="1"/>
  <c r="AB68" i="25" s="1"/>
  <c r="AD68" i="25"/>
  <c r="AE68" i="25" s="1"/>
  <c r="AD16" i="25"/>
  <c r="AE16" i="25" s="1"/>
  <c r="W16" i="25"/>
  <c r="Z16" i="25" s="1"/>
  <c r="AA16" i="25" s="1"/>
  <c r="AB16" i="25" s="1"/>
  <c r="W36" i="25"/>
  <c r="Z36" i="25" s="1"/>
  <c r="AA36" i="25" s="1"/>
  <c r="AB36" i="25" s="1"/>
  <c r="AD36" i="25"/>
  <c r="AE36" i="25" s="1"/>
  <c r="AO36" i="25"/>
  <c r="U294" i="25"/>
  <c r="V294" i="25"/>
  <c r="AO267" i="25"/>
  <c r="V301" i="25"/>
  <c r="U301" i="25"/>
  <c r="AD284" i="25"/>
  <c r="AE284" i="25" s="1"/>
  <c r="W284" i="25"/>
  <c r="Z284" i="25" s="1"/>
  <c r="AA284" i="25" s="1"/>
  <c r="AB284" i="25" s="1"/>
  <c r="AO143" i="25"/>
  <c r="AO270" i="25"/>
  <c r="U262" i="25"/>
  <c r="V262" i="25"/>
  <c r="AO254" i="25"/>
  <c r="U192" i="25"/>
  <c r="U144" i="25"/>
  <c r="AD95" i="25"/>
  <c r="AE95" i="25" s="1"/>
  <c r="W95" i="25"/>
  <c r="Z95" i="25" s="1"/>
  <c r="AA95" i="25" s="1"/>
  <c r="AB95" i="25" s="1"/>
  <c r="V62" i="25"/>
  <c r="U62" i="25"/>
  <c r="AD263" i="25"/>
  <c r="AE263" i="25" s="1"/>
  <c r="W263" i="25"/>
  <c r="Z263" i="25" s="1"/>
  <c r="AA263" i="25" s="1"/>
  <c r="AB263" i="25" s="1"/>
  <c r="W90" i="25"/>
  <c r="Z90" i="25" s="1"/>
  <c r="AA90" i="25" s="1"/>
  <c r="AB90" i="25" s="1"/>
  <c r="AD90" i="25"/>
  <c r="AE90" i="25" s="1"/>
  <c r="AD316" i="25"/>
  <c r="AE316" i="25" s="1"/>
  <c r="U313" i="25"/>
  <c r="U298" i="25"/>
  <c r="W315" i="25"/>
  <c r="Z315" i="25" s="1"/>
  <c r="AA315" i="25" s="1"/>
  <c r="AD315" i="25"/>
  <c r="AE315" i="25" s="1"/>
  <c r="V315" i="25"/>
  <c r="U315" i="25"/>
  <c r="U282" i="25"/>
  <c r="AD288" i="25"/>
  <c r="AE288" i="25" s="1"/>
  <c r="W288" i="25"/>
  <c r="Z288" i="25" s="1"/>
  <c r="AA288" i="25" s="1"/>
  <c r="AB288" i="25" s="1"/>
  <c r="AO288" i="25"/>
  <c r="AO200" i="25"/>
  <c r="U236" i="25"/>
  <c r="V236" i="25"/>
  <c r="AD300" i="25"/>
  <c r="AE300" i="25" s="1"/>
  <c r="W300" i="25"/>
  <c r="Z300" i="25" s="1"/>
  <c r="AA300" i="25" s="1"/>
  <c r="AB300" i="25" s="1"/>
  <c r="AO300" i="25"/>
  <c r="AO179" i="25"/>
  <c r="AD163" i="25"/>
  <c r="AE163" i="25" s="1"/>
  <c r="W163" i="25"/>
  <c r="Z163" i="25" s="1"/>
  <c r="AA163" i="25" s="1"/>
  <c r="AO147" i="25"/>
  <c r="U265" i="25"/>
  <c r="V265" i="25"/>
  <c r="AO257" i="25"/>
  <c r="U231" i="25"/>
  <c r="V231" i="25"/>
  <c r="U198" i="25"/>
  <c r="U166" i="25"/>
  <c r="U134" i="25"/>
  <c r="U193" i="25"/>
  <c r="U177" i="25"/>
  <c r="AD169" i="25"/>
  <c r="AE169" i="25" s="1"/>
  <c r="W169" i="25"/>
  <c r="Z169" i="25" s="1"/>
  <c r="AA169" i="25" s="1"/>
  <c r="AB169" i="25" s="1"/>
  <c r="U161" i="25"/>
  <c r="U145" i="25"/>
  <c r="U129" i="25"/>
  <c r="AD119" i="25"/>
  <c r="AE119" i="25" s="1"/>
  <c r="W119" i="25"/>
  <c r="Z119" i="25" s="1"/>
  <c r="AA119" i="25" s="1"/>
  <c r="AO119" i="25"/>
  <c r="V104" i="25"/>
  <c r="U104" i="25"/>
  <c r="V100" i="25"/>
  <c r="U100" i="25"/>
  <c r="V96" i="25"/>
  <c r="U96" i="25"/>
  <c r="V92" i="25"/>
  <c r="U92" i="25"/>
  <c r="U229" i="25"/>
  <c r="AO221" i="25"/>
  <c r="AO118" i="25"/>
  <c r="AO67" i="25"/>
  <c r="AO51" i="25"/>
  <c r="AO31" i="25"/>
  <c r="V31" i="25"/>
  <c r="U31" i="25"/>
  <c r="AO15" i="25"/>
  <c r="V85" i="25"/>
  <c r="U85" i="25"/>
  <c r="V61" i="25"/>
  <c r="U61" i="25"/>
  <c r="V29" i="25"/>
  <c r="U29" i="25"/>
  <c r="U304" i="25"/>
  <c r="AD294" i="25"/>
  <c r="AE294" i="25" s="1"/>
  <c r="W294" i="25"/>
  <c r="Z294" i="25" s="1"/>
  <c r="AA294" i="25" s="1"/>
  <c r="AB294" i="25" s="1"/>
  <c r="AO294" i="25"/>
  <c r="AO314" i="25"/>
  <c r="V273" i="25"/>
  <c r="U273" i="25"/>
  <c r="W278" i="25"/>
  <c r="Z278" i="25" s="1"/>
  <c r="AA278" i="25" s="1"/>
  <c r="AB278" i="25" s="1"/>
  <c r="AO278" i="25"/>
  <c r="U235" i="25"/>
  <c r="V235" i="25"/>
  <c r="U210" i="25"/>
  <c r="V191" i="25"/>
  <c r="U191" i="25"/>
  <c r="U159" i="25"/>
  <c r="AD262" i="25"/>
  <c r="AE262" i="25" s="1"/>
  <c r="W262" i="25"/>
  <c r="Z262" i="25" s="1"/>
  <c r="AA262" i="25" s="1"/>
  <c r="AO262" i="25"/>
  <c r="U238" i="25"/>
  <c r="AD227" i="25"/>
  <c r="AE227" i="25" s="1"/>
  <c r="W227" i="25"/>
  <c r="Z227" i="25" s="1"/>
  <c r="AA227" i="25" s="1"/>
  <c r="AO227" i="25"/>
  <c r="AO194" i="25"/>
  <c r="AO162" i="25"/>
  <c r="AO192" i="25"/>
  <c r="AO160" i="25"/>
  <c r="AD99" i="25"/>
  <c r="AE99" i="25" s="1"/>
  <c r="W99" i="25"/>
  <c r="Z99" i="25" s="1"/>
  <c r="AA99" i="25" s="1"/>
  <c r="AB99" i="25" s="1"/>
  <c r="AD91" i="25"/>
  <c r="AE91" i="25" s="1"/>
  <c r="W91" i="25"/>
  <c r="Z91" i="25" s="1"/>
  <c r="AA91" i="25" s="1"/>
  <c r="AB91" i="25" s="1"/>
  <c r="V57" i="25"/>
  <c r="U57" i="25"/>
  <c r="V64" i="25"/>
  <c r="U64" i="25"/>
  <c r="AO293" i="25"/>
  <c r="W280" i="25"/>
  <c r="Z280" i="25" s="1"/>
  <c r="AA280" i="25" s="1"/>
  <c r="AB280" i="25" s="1"/>
  <c r="AD280" i="25"/>
  <c r="AE280" i="25" s="1"/>
  <c r="U181" i="25"/>
  <c r="U149" i="25"/>
  <c r="U117" i="25"/>
  <c r="AD60" i="25"/>
  <c r="AE60" i="25" s="1"/>
  <c r="W60" i="25"/>
  <c r="Z60" i="25" s="1"/>
  <c r="AA60" i="25" s="1"/>
  <c r="AB60" i="25" s="1"/>
  <c r="W24" i="25"/>
  <c r="Z24" i="25" s="1"/>
  <c r="AA24" i="25" s="1"/>
  <c r="AB24" i="25" s="1"/>
  <c r="AD24" i="25"/>
  <c r="AE24" i="25" s="1"/>
  <c r="AO285" i="25"/>
  <c r="V188" i="25"/>
  <c r="U188" i="25"/>
  <c r="AD75" i="25"/>
  <c r="AE75" i="25" s="1"/>
  <c r="W75" i="25"/>
  <c r="Z75" i="25" s="1"/>
  <c r="AA75" i="25" s="1"/>
  <c r="AB75" i="25" s="1"/>
  <c r="AD305" i="25"/>
  <c r="AE305" i="25" s="1"/>
  <c r="W305" i="25"/>
  <c r="Z305" i="25" s="1"/>
  <c r="AA305" i="25" s="1"/>
  <c r="AO315" i="25"/>
  <c r="U288" i="25"/>
  <c r="V288" i="25"/>
  <c r="AO255" i="25"/>
  <c r="AD222" i="25"/>
  <c r="AE222" i="25" s="1"/>
  <c r="W222" i="25"/>
  <c r="Z222" i="25" s="1"/>
  <c r="AA222" i="25" s="1"/>
  <c r="AB222" i="25" s="1"/>
  <c r="U195" i="25"/>
  <c r="V163" i="25"/>
  <c r="U163" i="25"/>
  <c r="U131" i="25"/>
  <c r="AO272" i="25"/>
  <c r="U257" i="25"/>
  <c r="AO137" i="25"/>
  <c r="V15" i="25"/>
  <c r="U15" i="25"/>
  <c r="W82" i="25"/>
  <c r="Z82" i="25" s="1"/>
  <c r="AA82" i="25" s="1"/>
  <c r="AB82" i="25" s="1"/>
  <c r="AD82" i="25"/>
  <c r="AE82" i="25" s="1"/>
  <c r="AO66" i="25"/>
  <c r="W52" i="25"/>
  <c r="Z52" i="25" s="1"/>
  <c r="AA52" i="25" s="1"/>
  <c r="AB52" i="25" s="1"/>
  <c r="AD52" i="25"/>
  <c r="AE52" i="25" s="1"/>
  <c r="AD81" i="25"/>
  <c r="AE81" i="25" s="1"/>
  <c r="W81" i="25"/>
  <c r="Z81" i="25" s="1"/>
  <c r="AA81" i="25" s="1"/>
  <c r="AB81" i="25" s="1"/>
  <c r="AD41" i="25"/>
  <c r="AE41" i="25" s="1"/>
  <c r="W41" i="25"/>
  <c r="Z41" i="25" s="1"/>
  <c r="AA41" i="25" s="1"/>
  <c r="AB41" i="25" s="1"/>
  <c r="AO304" i="25"/>
  <c r="AD314" i="25"/>
  <c r="AE314" i="25" s="1"/>
  <c r="W314" i="25"/>
  <c r="Z314" i="25" s="1"/>
  <c r="AA314" i="25" s="1"/>
  <c r="AB314" i="25" s="1"/>
  <c r="AD267" i="25"/>
  <c r="AE267" i="25" s="1"/>
  <c r="AO301" i="25"/>
  <c r="AO264" i="25"/>
  <c r="AO284" i="25"/>
  <c r="AO202" i="25"/>
  <c r="AO175" i="25"/>
  <c r="U194" i="25"/>
  <c r="AO130" i="25"/>
  <c r="V160" i="25"/>
  <c r="U160" i="25"/>
  <c r="U128" i="25"/>
  <c r="V103" i="25"/>
  <c r="U103" i="25"/>
  <c r="AO63" i="25"/>
  <c r="V77" i="25"/>
  <c r="U77" i="25"/>
  <c r="AO290" i="25"/>
  <c r="U223" i="25"/>
  <c r="V223" i="25"/>
  <c r="V94" i="25"/>
  <c r="U94" i="25"/>
  <c r="W9" i="25"/>
  <c r="Z9" i="25" s="1"/>
  <c r="AA9" i="25" s="1"/>
  <c r="AB9" i="25" s="1"/>
  <c r="AD9" i="25"/>
  <c r="AE9" i="25" s="1"/>
  <c r="V316" i="25"/>
  <c r="U316" i="25"/>
  <c r="V305" i="25"/>
  <c r="U305" i="25"/>
  <c r="AO313" i="25"/>
  <c r="U291" i="25"/>
  <c r="V291" i="25"/>
  <c r="W277" i="25"/>
  <c r="Z277" i="25" s="1"/>
  <c r="AA277" i="25" s="1"/>
  <c r="AB277" i="25" s="1"/>
  <c r="AD277" i="25"/>
  <c r="AE277" i="25" s="1"/>
  <c r="U255" i="25"/>
  <c r="AD239" i="25"/>
  <c r="AE239" i="25" s="1"/>
  <c r="W239" i="25"/>
  <c r="Z239" i="25" s="1"/>
  <c r="AA239" i="25" s="1"/>
  <c r="AO239" i="25"/>
  <c r="U200" i="25"/>
  <c r="U268" i="25"/>
  <c r="V268" i="25"/>
  <c r="AD252" i="25"/>
  <c r="AE252" i="25" s="1"/>
  <c r="W252" i="25"/>
  <c r="Z252" i="25" s="1"/>
  <c r="AA252" i="25" s="1"/>
  <c r="AO252" i="25"/>
  <c r="U222" i="25"/>
  <c r="V222" i="25"/>
  <c r="AD205" i="25"/>
  <c r="AE205" i="25" s="1"/>
  <c r="AO195" i="25"/>
  <c r="AO163" i="25"/>
  <c r="AO131" i="25"/>
  <c r="U272" i="25"/>
  <c r="U249" i="25"/>
  <c r="AD241" i="25"/>
  <c r="AE241" i="25" s="1"/>
  <c r="W241" i="25"/>
  <c r="Z241" i="25" s="1"/>
  <c r="AA241" i="25" s="1"/>
  <c r="AO241" i="25"/>
  <c r="W182" i="25"/>
  <c r="Z182" i="25" s="1"/>
  <c r="AA182" i="25" s="1"/>
  <c r="AB182" i="25" s="1"/>
  <c r="U182" i="25"/>
  <c r="U150" i="25"/>
  <c r="U185" i="25"/>
  <c r="U169" i="25"/>
  <c r="V169" i="25"/>
  <c r="U153" i="25"/>
  <c r="U137" i="25"/>
  <c r="AD104" i="25"/>
  <c r="AE104" i="25" s="1"/>
  <c r="W104" i="25"/>
  <c r="Z104" i="25" s="1"/>
  <c r="AA104" i="25" s="1"/>
  <c r="AB104" i="25" s="1"/>
  <c r="AD100" i="25"/>
  <c r="AE100" i="25" s="1"/>
  <c r="W100" i="25"/>
  <c r="Z100" i="25" s="1"/>
  <c r="AA100" i="25" s="1"/>
  <c r="AB100" i="25" s="1"/>
  <c r="AO100" i="25"/>
  <c r="AD96" i="25"/>
  <c r="AE96" i="25" s="1"/>
  <c r="W96" i="25"/>
  <c r="Z96" i="25" s="1"/>
  <c r="AA96" i="25" s="1"/>
  <c r="AB96" i="25" s="1"/>
  <c r="AD92" i="25"/>
  <c r="AE92" i="25" s="1"/>
  <c r="W92" i="25"/>
  <c r="Z92" i="25" s="1"/>
  <c r="AA92" i="25" s="1"/>
  <c r="AB92" i="25" s="1"/>
  <c r="AO92" i="25"/>
  <c r="AD275" i="25"/>
  <c r="AE275" i="25" s="1"/>
  <c r="W275" i="25"/>
  <c r="Z275" i="25" s="1"/>
  <c r="AA275" i="25" s="1"/>
  <c r="V67" i="25"/>
  <c r="U67" i="25"/>
  <c r="AO61" i="25"/>
  <c r="AO11" i="25"/>
  <c r="AO7" i="25"/>
  <c r="AO82" i="25"/>
  <c r="AO84" i="25"/>
  <c r="AO68" i="25"/>
  <c r="AO52" i="25"/>
  <c r="V32" i="25"/>
  <c r="U32" i="25"/>
  <c r="AO32" i="25"/>
  <c r="V16" i="25"/>
  <c r="U16" i="25"/>
  <c r="AO16" i="25"/>
  <c r="AO81" i="25"/>
  <c r="V81" i="25"/>
  <c r="U81" i="25"/>
  <c r="AO41" i="25"/>
  <c r="V41" i="25"/>
  <c r="U41" i="25"/>
  <c r="AO46" i="25"/>
  <c r="AO26" i="25"/>
  <c r="U312" i="25"/>
  <c r="V314" i="25"/>
  <c r="U314" i="25"/>
  <c r="AD287" i="25"/>
  <c r="AE287" i="25" s="1"/>
  <c r="W287" i="25"/>
  <c r="Z287" i="25" s="1"/>
  <c r="AA287" i="25" s="1"/>
  <c r="AO287" i="25"/>
  <c r="AO273" i="25"/>
  <c r="U267" i="25"/>
  <c r="AD251" i="25"/>
  <c r="AE251" i="25" s="1"/>
  <c r="AO251" i="25"/>
  <c r="U264" i="25"/>
  <c r="AO248" i="25"/>
  <c r="AO207" i="25"/>
  <c r="U284" i="25"/>
  <c r="V284" i="25"/>
  <c r="U202" i="25"/>
  <c r="AD191" i="25"/>
  <c r="AE191" i="25" s="1"/>
  <c r="W191" i="25"/>
  <c r="Z191" i="25" s="1"/>
  <c r="AA191" i="25" s="1"/>
  <c r="U175" i="25"/>
  <c r="AD159" i="25"/>
  <c r="AE159" i="25" s="1"/>
  <c r="U143" i="25"/>
  <c r="AD289" i="25"/>
  <c r="AE289" i="25" s="1"/>
  <c r="W289" i="25"/>
  <c r="Z289" i="25" s="1"/>
  <c r="AA289" i="25" s="1"/>
  <c r="AO289" i="25"/>
  <c r="U270" i="25"/>
  <c r="V270" i="25"/>
  <c r="U254" i="25"/>
  <c r="AD246" i="25"/>
  <c r="AE246" i="25" s="1"/>
  <c r="W246" i="25"/>
  <c r="Z246" i="25" s="1"/>
  <c r="AA246" i="25" s="1"/>
  <c r="AO246" i="25"/>
  <c r="AO178" i="25"/>
  <c r="U146" i="25"/>
  <c r="U130" i="25"/>
  <c r="AO176" i="25"/>
  <c r="AD103" i="25"/>
  <c r="AE103" i="25" s="1"/>
  <c r="W103" i="25"/>
  <c r="Z103" i="25" s="1"/>
  <c r="AA103" i="25" s="1"/>
  <c r="AB103" i="25" s="1"/>
  <c r="V91" i="25"/>
  <c r="U91" i="25"/>
  <c r="AD293" i="25"/>
  <c r="AE293" i="25" s="1"/>
  <c r="W293" i="25"/>
  <c r="Z293" i="25" s="1"/>
  <c r="AA293" i="25" s="1"/>
  <c r="AB293" i="25" s="1"/>
  <c r="V280" i="25"/>
  <c r="U280" i="25"/>
  <c r="AD174" i="25"/>
  <c r="AE174" i="25" s="1"/>
  <c r="U306" i="25"/>
  <c r="AO219" i="25"/>
  <c r="AD55" i="25"/>
  <c r="AE55" i="25" s="1"/>
  <c r="W55" i="25"/>
  <c r="Z55" i="25" s="1"/>
  <c r="AA55" i="25" s="1"/>
  <c r="AB55" i="25" s="1"/>
  <c r="AO316" i="25"/>
  <c r="AO305" i="25"/>
  <c r="AO291" i="25"/>
  <c r="AO277" i="25"/>
  <c r="AD268" i="25"/>
  <c r="AE268" i="25" s="1"/>
  <c r="W268" i="25"/>
  <c r="Z268" i="25" s="1"/>
  <c r="AA268" i="25" s="1"/>
  <c r="U300" i="25"/>
  <c r="V300" i="25"/>
  <c r="AO222" i="25"/>
  <c r="AO249" i="25"/>
  <c r="AO150" i="25"/>
  <c r="AO169" i="25"/>
  <c r="V119" i="25"/>
  <c r="U119" i="25"/>
  <c r="U118" i="25"/>
  <c r="V116" i="25"/>
  <c r="U116" i="25"/>
  <c r="AD84" i="25"/>
  <c r="AE84" i="25" s="1"/>
  <c r="W84" i="25"/>
  <c r="Z84" i="25" s="1"/>
  <c r="AA84" i="25" s="1"/>
  <c r="AB84" i="25" s="1"/>
  <c r="W32" i="25"/>
  <c r="Z32" i="25" s="1"/>
  <c r="AA32" i="25" s="1"/>
  <c r="AB32" i="25" s="1"/>
  <c r="AD32" i="25"/>
  <c r="AE32" i="25" s="1"/>
  <c r="W46" i="25"/>
  <c r="Z46" i="25" s="1"/>
  <c r="AA46" i="25" s="1"/>
  <c r="AB46" i="25" s="1"/>
  <c r="AD46" i="25"/>
  <c r="AE46" i="25" s="1"/>
  <c r="W26" i="25"/>
  <c r="Z26" i="25" s="1"/>
  <c r="AA26" i="25" s="1"/>
  <c r="AB26" i="25" s="1"/>
  <c r="AD26" i="25"/>
  <c r="AE26" i="25" s="1"/>
  <c r="V309" i="25"/>
  <c r="U309" i="25"/>
  <c r="U278" i="25"/>
  <c r="U227" i="25"/>
  <c r="V227" i="25"/>
  <c r="U162" i="25"/>
  <c r="U184" i="25"/>
  <c r="U152" i="25"/>
  <c r="V136" i="25"/>
  <c r="U136" i="25"/>
  <c r="AO115" i="25"/>
  <c r="U274" i="25"/>
  <c r="AO139" i="25"/>
  <c r="AD189" i="25"/>
  <c r="AE189" i="25" s="1"/>
  <c r="W189" i="25"/>
  <c r="Z189" i="25" s="1"/>
  <c r="AA189" i="25" s="1"/>
  <c r="AB189" i="25" s="1"/>
  <c r="V102" i="25"/>
  <c r="U102" i="25"/>
  <c r="AD49" i="25"/>
  <c r="AE49" i="25" s="1"/>
  <c r="W49" i="25"/>
  <c r="Z49" i="25" s="1"/>
  <c r="AA49" i="25" s="1"/>
  <c r="AB49" i="25" s="1"/>
  <c r="W54" i="25"/>
  <c r="Z54" i="25" s="1"/>
  <c r="AA54" i="25" s="1"/>
  <c r="AB54" i="25" s="1"/>
  <c r="AD54" i="25"/>
  <c r="AE54" i="25" s="1"/>
  <c r="AO298" i="25"/>
  <c r="V277" i="25"/>
  <c r="U277" i="25"/>
  <c r="AD282" i="25"/>
  <c r="AE282" i="25" s="1"/>
  <c r="AO282" i="25"/>
  <c r="U239" i="25"/>
  <c r="V239" i="25"/>
  <c r="U252" i="25"/>
  <c r="V252" i="25"/>
  <c r="AD236" i="25"/>
  <c r="AE236" i="25" s="1"/>
  <c r="W236" i="25"/>
  <c r="Z236" i="25" s="1"/>
  <c r="AA236" i="25" s="1"/>
  <c r="AO236" i="25"/>
  <c r="AO205" i="25"/>
  <c r="U179" i="25"/>
  <c r="U147" i="25"/>
  <c r="AD265" i="25"/>
  <c r="AE265" i="25" s="1"/>
  <c r="W265" i="25"/>
  <c r="Z265" i="25" s="1"/>
  <c r="AA265" i="25" s="1"/>
  <c r="AO265" i="25"/>
  <c r="U241" i="25"/>
  <c r="V241" i="25"/>
  <c r="AD231" i="25"/>
  <c r="AE231" i="25" s="1"/>
  <c r="W231" i="25"/>
  <c r="Z231" i="25" s="1"/>
  <c r="AA231" i="25" s="1"/>
  <c r="AO231" i="25"/>
  <c r="AO198" i="25"/>
  <c r="AO166" i="25"/>
  <c r="AO134" i="25"/>
  <c r="AO193" i="25"/>
  <c r="AO177" i="25"/>
  <c r="AO161" i="25"/>
  <c r="AO145" i="25"/>
  <c r="AO129" i="25"/>
  <c r="AO104" i="25"/>
  <c r="AO96" i="25"/>
  <c r="V275" i="25"/>
  <c r="U275" i="25"/>
  <c r="AO229" i="25"/>
  <c r="W83" i="25"/>
  <c r="Z83" i="25" s="1"/>
  <c r="AA83" i="25" s="1"/>
  <c r="AB83" i="25" s="1"/>
  <c r="AD83" i="25"/>
  <c r="AE83" i="25" s="1"/>
  <c r="V83" i="25"/>
  <c r="U83" i="25"/>
  <c r="AD67" i="25"/>
  <c r="AE67" i="25" s="1"/>
  <c r="W67" i="25"/>
  <c r="Z67" i="25" s="1"/>
  <c r="AA67" i="25" s="1"/>
  <c r="AB67" i="25" s="1"/>
  <c r="W51" i="25"/>
  <c r="Z51" i="25" s="1"/>
  <c r="AA51" i="25" s="1"/>
  <c r="AB51" i="25" s="1"/>
  <c r="AD51" i="25"/>
  <c r="AE51" i="25" s="1"/>
  <c r="V51" i="25"/>
  <c r="U51" i="25"/>
  <c r="W31" i="25"/>
  <c r="Z31" i="25" s="1"/>
  <c r="AA31" i="25" s="1"/>
  <c r="AB31" i="25" s="1"/>
  <c r="AD31" i="25"/>
  <c r="AE31" i="25" s="1"/>
  <c r="AD15" i="25"/>
  <c r="AE15" i="25" s="1"/>
  <c r="W15" i="25"/>
  <c r="Z15" i="25" s="1"/>
  <c r="AA15" i="25" s="1"/>
  <c r="AB15" i="25" s="1"/>
  <c r="AD85" i="25"/>
  <c r="AE85" i="25" s="1"/>
  <c r="W85" i="25"/>
  <c r="Z85" i="25" s="1"/>
  <c r="AA85" i="25" s="1"/>
  <c r="AB85" i="25" s="1"/>
  <c r="AD61" i="25"/>
  <c r="AE61" i="25" s="1"/>
  <c r="W61" i="25"/>
  <c r="Z61" i="25" s="1"/>
  <c r="AA61" i="25" s="1"/>
  <c r="AB61" i="25" s="1"/>
  <c r="AD29" i="25"/>
  <c r="AE29" i="25" s="1"/>
  <c r="W29" i="25"/>
  <c r="Z29" i="25" s="1"/>
  <c r="AA29" i="25" s="1"/>
  <c r="AB29" i="25" s="1"/>
  <c r="W11" i="25"/>
  <c r="Z11" i="25" s="1"/>
  <c r="AA11" i="25" s="1"/>
  <c r="AB11" i="25" s="1"/>
  <c r="AD11" i="25"/>
  <c r="AE11" i="25" s="1"/>
  <c r="U11" i="25"/>
  <c r="V11" i="25"/>
  <c r="W7" i="25"/>
  <c r="Z7" i="25" s="1"/>
  <c r="AA7" i="25" s="1"/>
  <c r="AB7" i="25" s="1"/>
  <c r="AD7" i="25"/>
  <c r="AE7" i="25" s="1"/>
  <c r="U7" i="25"/>
  <c r="V7" i="25"/>
  <c r="AD116" i="25"/>
  <c r="AE116" i="25" s="1"/>
  <c r="W116" i="25"/>
  <c r="Z116" i="25" s="1"/>
  <c r="AA116" i="25" s="1"/>
  <c r="AO116" i="25"/>
  <c r="V82" i="25"/>
  <c r="U82" i="25"/>
  <c r="V66" i="25"/>
  <c r="U66" i="25"/>
  <c r="V84" i="25"/>
  <c r="U84" i="25"/>
  <c r="V68" i="25"/>
  <c r="U68" i="25"/>
  <c r="V52" i="25"/>
  <c r="U52" i="25"/>
  <c r="V46" i="25"/>
  <c r="U46" i="25"/>
  <c r="V36" i="25"/>
  <c r="U36" i="25"/>
  <c r="V26" i="25"/>
  <c r="U26" i="25"/>
  <c r="AO312" i="25"/>
  <c r="AD309" i="25"/>
  <c r="AE309" i="25" s="1"/>
  <c r="W309" i="25"/>
  <c r="Z309" i="25" s="1"/>
  <c r="AA309" i="25" s="1"/>
  <c r="AO309" i="25"/>
  <c r="U287" i="25"/>
  <c r="V287" i="25"/>
  <c r="W273" i="25"/>
  <c r="Z273" i="25" s="1"/>
  <c r="AA273" i="25" s="1"/>
  <c r="AB273" i="25" s="1"/>
  <c r="AD273" i="25"/>
  <c r="AE273" i="25" s="1"/>
  <c r="U251" i="25"/>
  <c r="V251" i="25"/>
  <c r="AD235" i="25"/>
  <c r="AE235" i="25" s="1"/>
  <c r="W235" i="25"/>
  <c r="Z235" i="25" s="1"/>
  <c r="AA235" i="25" s="1"/>
  <c r="AO235" i="25"/>
  <c r="U248" i="25"/>
  <c r="U207" i="25"/>
  <c r="AO210" i="25"/>
  <c r="AO191" i="25"/>
  <c r="AO159" i="25"/>
  <c r="U289" i="25"/>
  <c r="V289" i="25"/>
  <c r="AD270" i="25"/>
  <c r="AE270" i="25" s="1"/>
  <c r="W270" i="25"/>
  <c r="Z270" i="25" s="1"/>
  <c r="AA270" i="25" s="1"/>
  <c r="U246" i="25"/>
  <c r="V246" i="25"/>
  <c r="W238" i="25"/>
  <c r="Z238" i="25" s="1"/>
  <c r="AA238" i="25" s="1"/>
  <c r="AO238" i="25"/>
  <c r="AD178" i="25"/>
  <c r="AE178" i="25" s="1"/>
  <c r="W178" i="25"/>
  <c r="Z178" i="25" s="1"/>
  <c r="AA178" i="25" s="1"/>
  <c r="AB178" i="25" s="1"/>
  <c r="U178" i="25"/>
  <c r="V178" i="25"/>
  <c r="U176" i="25"/>
  <c r="U168" i="25"/>
  <c r="W160" i="25"/>
  <c r="Z160" i="25" s="1"/>
  <c r="AA160" i="25" s="1"/>
  <c r="AD160" i="25"/>
  <c r="AE160" i="25" s="1"/>
  <c r="W136" i="25"/>
  <c r="Z136" i="25" s="1"/>
  <c r="AA136" i="25" s="1"/>
  <c r="AD136" i="25"/>
  <c r="AE136" i="25" s="1"/>
  <c r="AD115" i="25"/>
  <c r="AE115" i="25" s="1"/>
  <c r="W115" i="25"/>
  <c r="Z115" i="25" s="1"/>
  <c r="AA115" i="25" s="1"/>
  <c r="AB115" i="25" s="1"/>
  <c r="V99" i="25"/>
  <c r="U99" i="25"/>
  <c r="V95" i="25"/>
  <c r="U95" i="25"/>
  <c r="W271" i="25"/>
  <c r="Z271" i="25" s="1"/>
  <c r="AA271" i="25" s="1"/>
  <c r="AB271" i="25" s="1"/>
  <c r="V25" i="25"/>
  <c r="U25" i="25"/>
  <c r="AO263" i="25"/>
  <c r="U174" i="25"/>
  <c r="W38" i="25"/>
  <c r="Z38" i="25" s="1"/>
  <c r="AA38" i="25" s="1"/>
  <c r="AB38" i="25" s="1"/>
  <c r="AD38" i="25"/>
  <c r="AE38" i="25" s="1"/>
  <c r="V18" i="25"/>
  <c r="U18" i="25"/>
  <c r="AD226" i="25"/>
  <c r="AE226" i="25" s="1"/>
  <c r="W226" i="25"/>
  <c r="Z226" i="25" s="1"/>
  <c r="AA226" i="25" s="1"/>
  <c r="AB226" i="25" s="1"/>
  <c r="V199" i="25"/>
  <c r="U199" i="25"/>
  <c r="U151" i="25"/>
  <c r="AD73" i="25"/>
  <c r="AE73" i="25" s="1"/>
  <c r="W73" i="25"/>
  <c r="Z73" i="25" s="1"/>
  <c r="AA73" i="25" s="1"/>
  <c r="AB73" i="25" s="1"/>
  <c r="AO146" i="25"/>
  <c r="AO184" i="25"/>
  <c r="AO168" i="25"/>
  <c r="AO152" i="25"/>
  <c r="AO136" i="25"/>
  <c r="V115" i="25"/>
  <c r="U115" i="25"/>
  <c r="AO103" i="25"/>
  <c r="AO99" i="25"/>
  <c r="AO95" i="25"/>
  <c r="AO91" i="25"/>
  <c r="AO271" i="25"/>
  <c r="U220" i="25"/>
  <c r="V220" i="25"/>
  <c r="U114" i="25"/>
  <c r="U125" i="25"/>
  <c r="AD77" i="25"/>
  <c r="AE77" i="25" s="1"/>
  <c r="W77" i="25"/>
  <c r="Z77" i="25" s="1"/>
  <c r="AA77" i="25" s="1"/>
  <c r="AB77" i="25" s="1"/>
  <c r="AD57" i="25"/>
  <c r="AE57" i="25" s="1"/>
  <c r="W57" i="25"/>
  <c r="Z57" i="25" s="1"/>
  <c r="AA57" i="25" s="1"/>
  <c r="AB57" i="25" s="1"/>
  <c r="AD25" i="25"/>
  <c r="AE25" i="25" s="1"/>
  <c r="W25" i="25"/>
  <c r="Z25" i="25" s="1"/>
  <c r="AA25" i="25" s="1"/>
  <c r="AB25" i="25" s="1"/>
  <c r="W10" i="25"/>
  <c r="Z10" i="25" s="1"/>
  <c r="AA10" i="25" s="1"/>
  <c r="AB10" i="25" s="1"/>
  <c r="AD10" i="25"/>
  <c r="AE10" i="25" s="1"/>
  <c r="U10" i="25"/>
  <c r="V10" i="25"/>
  <c r="W6" i="25"/>
  <c r="Z6" i="25" s="1"/>
  <c r="AA6" i="25" s="1"/>
  <c r="AB6" i="25" s="1"/>
  <c r="AD6" i="25"/>
  <c r="AE6" i="25" s="1"/>
  <c r="AD112" i="25"/>
  <c r="AE112" i="25" s="1"/>
  <c r="W112" i="25"/>
  <c r="Z112" i="25" s="1"/>
  <c r="AA112" i="25" s="1"/>
  <c r="AO112" i="25"/>
  <c r="V78" i="25"/>
  <c r="U78" i="25"/>
  <c r="V80" i="25"/>
  <c r="U80" i="25"/>
  <c r="V42" i="25"/>
  <c r="U42" i="25"/>
  <c r="V35" i="25"/>
  <c r="U35" i="25"/>
  <c r="V22" i="25"/>
  <c r="U22" i="25"/>
  <c r="U308" i="25"/>
  <c r="U303" i="25"/>
  <c r="AD307" i="25"/>
  <c r="AE307" i="25" s="1"/>
  <c r="W307" i="25"/>
  <c r="Z307" i="25" s="1"/>
  <c r="AA307" i="25" s="1"/>
  <c r="U283" i="25"/>
  <c r="V283" i="25"/>
  <c r="W274" i="25"/>
  <c r="Z274" i="25" s="1"/>
  <c r="AA274" i="25" s="1"/>
  <c r="AB274" i="25" s="1"/>
  <c r="AO274" i="25"/>
  <c r="AO208" i="25"/>
  <c r="U244" i="25"/>
  <c r="AD203" i="25"/>
  <c r="AE203" i="25" s="1"/>
  <c r="W203" i="25"/>
  <c r="Z203" i="25" s="1"/>
  <c r="AA203" i="25" s="1"/>
  <c r="AB203" i="25" s="1"/>
  <c r="U203" i="25"/>
  <c r="V203" i="25"/>
  <c r="AO209" i="25"/>
  <c r="U139" i="25"/>
  <c r="AO280" i="25"/>
  <c r="U245" i="25"/>
  <c r="V245" i="25"/>
  <c r="AD223" i="25"/>
  <c r="AE223" i="25" s="1"/>
  <c r="W223" i="25"/>
  <c r="Z223" i="25" s="1"/>
  <c r="AA223" i="25" s="1"/>
  <c r="AO223" i="25"/>
  <c r="AO174" i="25"/>
  <c r="AO181" i="25"/>
  <c r="AO149" i="25"/>
  <c r="U233" i="25"/>
  <c r="V233" i="25"/>
  <c r="U126" i="25"/>
  <c r="AO59" i="25"/>
  <c r="AO117" i="25"/>
  <c r="U9" i="25"/>
  <c r="V9" i="25"/>
  <c r="V54" i="25"/>
  <c r="U54" i="25"/>
  <c r="AO53" i="25"/>
  <c r="V317" i="25"/>
  <c r="U317" i="25"/>
  <c r="V302" i="25"/>
  <c r="U302" i="25"/>
  <c r="AD286" i="25"/>
  <c r="AE286" i="25" s="1"/>
  <c r="W286" i="25"/>
  <c r="Z286" i="25" s="1"/>
  <c r="AA286" i="25" s="1"/>
  <c r="AB286" i="25" s="1"/>
  <c r="U286" i="25"/>
  <c r="V286" i="25"/>
  <c r="AD243" i="25"/>
  <c r="AE243" i="25" s="1"/>
  <c r="AD310" i="25"/>
  <c r="AE310" i="25" s="1"/>
  <c r="W310" i="25"/>
  <c r="Z310" i="25" s="1"/>
  <c r="AA310" i="25" s="1"/>
  <c r="AB310" i="25" s="1"/>
  <c r="U226" i="25"/>
  <c r="V226" i="25"/>
  <c r="AD258" i="25"/>
  <c r="AE258" i="25" s="1"/>
  <c r="W258" i="25"/>
  <c r="Z258" i="25" s="1"/>
  <c r="AA258" i="25" s="1"/>
  <c r="AB258" i="25" s="1"/>
  <c r="AO242" i="25"/>
  <c r="U224" i="25"/>
  <c r="V224" i="25"/>
  <c r="AD89" i="25"/>
  <c r="AE89" i="25" s="1"/>
  <c r="W89" i="25"/>
  <c r="Z89" i="25" s="1"/>
  <c r="AA89" i="25" s="1"/>
  <c r="AB89" i="25" s="1"/>
  <c r="AO37" i="25"/>
  <c r="W14" i="25"/>
  <c r="Z14" i="25" s="1"/>
  <c r="AA14" i="25" s="1"/>
  <c r="AB14" i="25" s="1"/>
  <c r="AD14" i="25"/>
  <c r="AE14" i="25" s="1"/>
  <c r="U141" i="25"/>
  <c r="AD98" i="25"/>
  <c r="AE98" i="25" s="1"/>
  <c r="W98" i="25"/>
  <c r="Z98" i="25" s="1"/>
  <c r="AA98" i="25" s="1"/>
  <c r="AB98" i="25" s="1"/>
  <c r="AO124" i="25"/>
  <c r="AO144" i="25"/>
  <c r="AO128" i="25"/>
  <c r="U271" i="25"/>
  <c r="AO228" i="25"/>
  <c r="AD79" i="25"/>
  <c r="AE79" i="25" s="1"/>
  <c r="W79" i="25"/>
  <c r="Z79" i="25" s="1"/>
  <c r="AA79" i="25" s="1"/>
  <c r="AB79" i="25" s="1"/>
  <c r="AO79" i="25"/>
  <c r="W63" i="25"/>
  <c r="Z63" i="25" s="1"/>
  <c r="AA63" i="25" s="1"/>
  <c r="AB63" i="25" s="1"/>
  <c r="AD63" i="25"/>
  <c r="AE63" i="25" s="1"/>
  <c r="V63" i="25"/>
  <c r="U63" i="25"/>
  <c r="W47" i="25"/>
  <c r="Z47" i="25" s="1"/>
  <c r="AA47" i="25" s="1"/>
  <c r="AB47" i="25" s="1"/>
  <c r="AD47" i="25"/>
  <c r="AE47" i="25" s="1"/>
  <c r="V47" i="25"/>
  <c r="U47" i="25"/>
  <c r="W27" i="25"/>
  <c r="Z27" i="25" s="1"/>
  <c r="AA27" i="25" s="1"/>
  <c r="AB27" i="25" s="1"/>
  <c r="AD27" i="25"/>
  <c r="AE27" i="25" s="1"/>
  <c r="V27" i="25"/>
  <c r="U27" i="25"/>
  <c r="AO77" i="25"/>
  <c r="AO57" i="25"/>
  <c r="AO25" i="25"/>
  <c r="AO6" i="25"/>
  <c r="V112" i="25"/>
  <c r="U112" i="25"/>
  <c r="W78" i="25"/>
  <c r="Z78" i="25" s="1"/>
  <c r="AA78" i="25" s="1"/>
  <c r="AB78" i="25" s="1"/>
  <c r="AD78" i="25"/>
  <c r="AE78" i="25" s="1"/>
  <c r="W62" i="25"/>
  <c r="Z62" i="25" s="1"/>
  <c r="AA62" i="25" s="1"/>
  <c r="AB62" i="25" s="1"/>
  <c r="AD62" i="25"/>
  <c r="AE62" i="25" s="1"/>
  <c r="W80" i="25"/>
  <c r="Z80" i="25" s="1"/>
  <c r="AA80" i="25" s="1"/>
  <c r="AB80" i="25" s="1"/>
  <c r="AD80" i="25"/>
  <c r="AE80" i="25" s="1"/>
  <c r="W64" i="25"/>
  <c r="Z64" i="25" s="1"/>
  <c r="AA64" i="25" s="1"/>
  <c r="AB64" i="25" s="1"/>
  <c r="AD64" i="25"/>
  <c r="AE64" i="25" s="1"/>
  <c r="W48" i="25"/>
  <c r="Z48" i="25" s="1"/>
  <c r="AA48" i="25" s="1"/>
  <c r="AB48" i="25" s="1"/>
  <c r="AD48" i="25"/>
  <c r="AE48" i="25" s="1"/>
  <c r="V48" i="25"/>
  <c r="U48" i="25"/>
  <c r="AD28" i="25"/>
  <c r="AE28" i="25" s="1"/>
  <c r="W28" i="25"/>
  <c r="Z28" i="25" s="1"/>
  <c r="AA28" i="25" s="1"/>
  <c r="AB28" i="25" s="1"/>
  <c r="W12" i="25"/>
  <c r="Z12" i="25" s="1"/>
  <c r="AA12" i="25" s="1"/>
  <c r="AB12" i="25" s="1"/>
  <c r="AD12" i="25"/>
  <c r="AE12" i="25" s="1"/>
  <c r="AD69" i="25"/>
  <c r="AE69" i="25" s="1"/>
  <c r="W69" i="25"/>
  <c r="Z69" i="25" s="1"/>
  <c r="AA69" i="25" s="1"/>
  <c r="AB69" i="25" s="1"/>
  <c r="AD21" i="25"/>
  <c r="AE21" i="25" s="1"/>
  <c r="W21" i="25"/>
  <c r="Z21" i="25" s="1"/>
  <c r="AA21" i="25" s="1"/>
  <c r="AB21" i="25" s="1"/>
  <c r="W42" i="25"/>
  <c r="Z42" i="25" s="1"/>
  <c r="AA42" i="25" s="1"/>
  <c r="AB42" i="25" s="1"/>
  <c r="AD42" i="25"/>
  <c r="AE42" i="25" s="1"/>
  <c r="W35" i="25"/>
  <c r="Z35" i="25" s="1"/>
  <c r="AA35" i="25" s="1"/>
  <c r="AB35" i="25" s="1"/>
  <c r="AD35" i="25"/>
  <c r="AE35" i="25" s="1"/>
  <c r="AO35" i="25"/>
  <c r="W22" i="25"/>
  <c r="Z22" i="25" s="1"/>
  <c r="AA22" i="25" s="1"/>
  <c r="AB22" i="25" s="1"/>
  <c r="AD22" i="25"/>
  <c r="AE22" i="25" s="1"/>
  <c r="W308" i="25"/>
  <c r="Z308" i="25" s="1"/>
  <c r="AA308" i="25" s="1"/>
  <c r="AB308" i="25" s="1"/>
  <c r="V307" i="25"/>
  <c r="U307" i="25"/>
  <c r="AO307" i="25"/>
  <c r="U290" i="25"/>
  <c r="AD299" i="25"/>
  <c r="AE299" i="25" s="1"/>
  <c r="W299" i="25"/>
  <c r="Z299" i="25" s="1"/>
  <c r="AA299" i="25" s="1"/>
  <c r="AO299" i="25"/>
  <c r="U263" i="25"/>
  <c r="V263" i="25"/>
  <c r="AO247" i="25"/>
  <c r="U208" i="25"/>
  <c r="U293" i="25"/>
  <c r="V293" i="25"/>
  <c r="AO260" i="25"/>
  <c r="AO230" i="25"/>
  <c r="U209" i="25"/>
  <c r="U171" i="25"/>
  <c r="AO261" i="25"/>
  <c r="AO142" i="25"/>
  <c r="AO189" i="25"/>
  <c r="AO165" i="25"/>
  <c r="AO127" i="25"/>
  <c r="AO297" i="25"/>
  <c r="V49" i="25"/>
  <c r="U49" i="25"/>
  <c r="AO90" i="25"/>
  <c r="V60" i="25"/>
  <c r="U60" i="25"/>
  <c r="AO60" i="25"/>
  <c r="V24" i="25"/>
  <c r="U24" i="25"/>
  <c r="AO24" i="25"/>
  <c r="AO38" i="25"/>
  <c r="AO306" i="25"/>
  <c r="AO317" i="25"/>
  <c r="AO259" i="25"/>
  <c r="U206" i="25"/>
  <c r="W276" i="25"/>
  <c r="Z276" i="25" s="1"/>
  <c r="AA276" i="25" s="1"/>
  <c r="AB276" i="25" s="1"/>
  <c r="AD276" i="25"/>
  <c r="AE276" i="25" s="1"/>
  <c r="U234" i="25"/>
  <c r="V234" i="25"/>
  <c r="V39" i="25"/>
  <c r="U39" i="25"/>
  <c r="V70" i="25"/>
  <c r="U70" i="25"/>
  <c r="W40" i="25"/>
  <c r="Z40" i="25" s="1"/>
  <c r="AA40" i="25" s="1"/>
  <c r="AB40" i="25" s="1"/>
  <c r="AD40" i="25"/>
  <c r="AE40" i="25" s="1"/>
  <c r="V43" i="25"/>
  <c r="U43" i="25"/>
  <c r="W44" i="25"/>
  <c r="Z44" i="25" s="1"/>
  <c r="AA44" i="25" s="1"/>
  <c r="AB44" i="25" s="1"/>
  <c r="AD44" i="25"/>
  <c r="AE44" i="25" s="1"/>
  <c r="U228" i="25"/>
  <c r="AD220" i="25"/>
  <c r="AE220" i="25" s="1"/>
  <c r="W220" i="25"/>
  <c r="Z220" i="25" s="1"/>
  <c r="AA220" i="25" s="1"/>
  <c r="AO220" i="25"/>
  <c r="AO114" i="25"/>
  <c r="V79" i="25"/>
  <c r="U79" i="25"/>
  <c r="AO47" i="25"/>
  <c r="AO27" i="25"/>
  <c r="AO125" i="25"/>
  <c r="AO10" i="25"/>
  <c r="U6" i="25"/>
  <c r="V6" i="25"/>
  <c r="AO78" i="25"/>
  <c r="AO62" i="25"/>
  <c r="AO80" i="25"/>
  <c r="AO64" i="25"/>
  <c r="AO48" i="25"/>
  <c r="V28" i="25"/>
  <c r="U28" i="25"/>
  <c r="AO28" i="25"/>
  <c r="V12" i="25"/>
  <c r="U12" i="25"/>
  <c r="AO12" i="25"/>
  <c r="AO69" i="25"/>
  <c r="V69" i="25"/>
  <c r="U69" i="25"/>
  <c r="AO21" i="25"/>
  <c r="V21" i="25"/>
  <c r="U21" i="25"/>
  <c r="AO42" i="25"/>
  <c r="AO22" i="25"/>
  <c r="AO308" i="25"/>
  <c r="AO303" i="25"/>
  <c r="U299" i="25"/>
  <c r="V299" i="25"/>
  <c r="AD283" i="25"/>
  <c r="AE283" i="25" s="1"/>
  <c r="W283" i="25"/>
  <c r="Z283" i="25" s="1"/>
  <c r="AA283" i="25" s="1"/>
  <c r="AO283" i="25"/>
  <c r="U247" i="25"/>
  <c r="V247" i="25"/>
  <c r="U260" i="25"/>
  <c r="AO244" i="25"/>
  <c r="AO203" i="25"/>
  <c r="U230" i="25"/>
  <c r="AO171" i="25"/>
  <c r="U261" i="25"/>
  <c r="AD245" i="25"/>
  <c r="AE245" i="25" s="1"/>
  <c r="W245" i="25"/>
  <c r="Z245" i="25" s="1"/>
  <c r="AA245" i="25" s="1"/>
  <c r="AO245" i="25"/>
  <c r="U142" i="25"/>
  <c r="U189" i="25"/>
  <c r="V189" i="25"/>
  <c r="U165" i="25"/>
  <c r="U127" i="25"/>
  <c r="AD102" i="25"/>
  <c r="AE102" i="25" s="1"/>
  <c r="W102" i="25"/>
  <c r="Z102" i="25" s="1"/>
  <c r="AA102" i="25" s="1"/>
  <c r="AB102" i="25" s="1"/>
  <c r="AO102" i="25"/>
  <c r="AD94" i="25"/>
  <c r="AE94" i="25" s="1"/>
  <c r="W94" i="25"/>
  <c r="Z94" i="25" s="1"/>
  <c r="AA94" i="25" s="1"/>
  <c r="AB94" i="25" s="1"/>
  <c r="AO94" i="25"/>
  <c r="AD233" i="25"/>
  <c r="AE233" i="25" s="1"/>
  <c r="W233" i="25"/>
  <c r="Z233" i="25" s="1"/>
  <c r="AA233" i="25" s="1"/>
  <c r="AO233" i="25"/>
  <c r="AO126" i="25"/>
  <c r="U297" i="25"/>
  <c r="W59" i="25"/>
  <c r="Z59" i="25" s="1"/>
  <c r="AA59" i="25" s="1"/>
  <c r="AB59" i="25" s="1"/>
  <c r="AD59" i="25"/>
  <c r="AE59" i="25" s="1"/>
  <c r="V59" i="25"/>
  <c r="U59" i="25"/>
  <c r="AO49" i="25"/>
  <c r="AO9" i="25"/>
  <c r="V90" i="25"/>
  <c r="U90" i="25"/>
  <c r="AO54" i="25"/>
  <c r="AD53" i="25"/>
  <c r="AE53" i="25" s="1"/>
  <c r="W53" i="25"/>
  <c r="Z53" i="25" s="1"/>
  <c r="AA53" i="25" s="1"/>
  <c r="AB53" i="25" s="1"/>
  <c r="V53" i="25"/>
  <c r="U53" i="25"/>
  <c r="W18" i="25"/>
  <c r="Z18" i="25" s="1"/>
  <c r="AA18" i="25" s="1"/>
  <c r="AB18" i="25" s="1"/>
  <c r="AD18" i="25"/>
  <c r="AE18" i="25" s="1"/>
  <c r="AO18" i="25"/>
  <c r="U295" i="25"/>
  <c r="V295" i="25"/>
  <c r="AO281" i="25"/>
  <c r="AD285" i="25"/>
  <c r="AE285" i="25" s="1"/>
  <c r="W285" i="25"/>
  <c r="Z285" i="25" s="1"/>
  <c r="AA285" i="25" s="1"/>
  <c r="AB285" i="25" s="1"/>
  <c r="AO154" i="25"/>
  <c r="U156" i="25"/>
  <c r="AD87" i="25"/>
  <c r="AE87" i="25" s="1"/>
  <c r="W87" i="25"/>
  <c r="Z87" i="25" s="1"/>
  <c r="AA87" i="25" s="1"/>
  <c r="AB87" i="25" s="1"/>
  <c r="AD19" i="25"/>
  <c r="AE19" i="25" s="1"/>
  <c r="W19" i="25"/>
  <c r="Z19" i="25" s="1"/>
  <c r="AA19" i="25" s="1"/>
  <c r="AB19" i="25" s="1"/>
  <c r="W50" i="25"/>
  <c r="Z50" i="25" s="1"/>
  <c r="AA50" i="25" s="1"/>
  <c r="AB50" i="25" s="1"/>
  <c r="AD50" i="25"/>
  <c r="AE50" i="25" s="1"/>
  <c r="U237" i="25"/>
  <c r="W74" i="25"/>
  <c r="Z74" i="25" s="1"/>
  <c r="AA74" i="25" s="1"/>
  <c r="AB74" i="25" s="1"/>
  <c r="AD74" i="25"/>
  <c r="AE74" i="25" s="1"/>
  <c r="V34" i="25"/>
  <c r="U34" i="25"/>
  <c r="AD317" i="25"/>
  <c r="AE317" i="25" s="1"/>
  <c r="W317" i="25"/>
  <c r="Z317" i="25" s="1"/>
  <c r="AA317" i="25" s="1"/>
  <c r="AB317" i="25" s="1"/>
  <c r="AO302" i="25"/>
  <c r="AO311" i="25"/>
  <c r="AO243" i="25"/>
  <c r="U204" i="25"/>
  <c r="AO256" i="25"/>
  <c r="AO226" i="25"/>
  <c r="U135" i="25"/>
  <c r="V276" i="25"/>
  <c r="U276" i="25"/>
  <c r="AO258" i="25"/>
  <c r="U250" i="25"/>
  <c r="V250" i="25"/>
  <c r="AO170" i="25"/>
  <c r="U180" i="25"/>
  <c r="U148" i="25"/>
  <c r="U123" i="25"/>
  <c r="AO232" i="25"/>
  <c r="U122" i="25"/>
  <c r="AO87" i="25"/>
  <c r="U113" i="25"/>
  <c r="AD33" i="25"/>
  <c r="AE33" i="25" s="1"/>
  <c r="W33" i="25"/>
  <c r="Z33" i="25" s="1"/>
  <c r="AA33" i="25" s="1"/>
  <c r="AB33" i="25" s="1"/>
  <c r="W70" i="25"/>
  <c r="Z70" i="25" s="1"/>
  <c r="AA70" i="25" s="1"/>
  <c r="AB70" i="25" s="1"/>
  <c r="AD70" i="25"/>
  <c r="AE70" i="25" s="1"/>
  <c r="AD72" i="25"/>
  <c r="AE72" i="25" s="1"/>
  <c r="W72" i="25"/>
  <c r="Z72" i="25" s="1"/>
  <c r="AA72" i="25" s="1"/>
  <c r="AB72" i="25" s="1"/>
  <c r="V37" i="25"/>
  <c r="U37" i="25"/>
  <c r="V30" i="25"/>
  <c r="U30" i="25"/>
  <c r="AO14" i="25"/>
  <c r="U187" i="25"/>
  <c r="V155" i="25"/>
  <c r="U155" i="25"/>
  <c r="AO253" i="25"/>
  <c r="U190" i="25"/>
  <c r="V190" i="25"/>
  <c r="U197" i="25"/>
  <c r="U133" i="25"/>
  <c r="AO111" i="25"/>
  <c r="AO75" i="25"/>
  <c r="W23" i="25"/>
  <c r="Z23" i="25" s="1"/>
  <c r="AA23" i="25" s="1"/>
  <c r="AB23" i="25" s="1"/>
  <c r="AD23" i="25"/>
  <c r="AE23" i="25" s="1"/>
  <c r="U121" i="25"/>
  <c r="V121" i="25"/>
  <c r="W34" i="25"/>
  <c r="Z34" i="25" s="1"/>
  <c r="AA34" i="25" s="1"/>
  <c r="AB34" i="25" s="1"/>
  <c r="AD34" i="25"/>
  <c r="AE34" i="25" s="1"/>
  <c r="AO286" i="25"/>
  <c r="AD295" i="25"/>
  <c r="AE295" i="25" s="1"/>
  <c r="W295" i="25"/>
  <c r="Z295" i="25" s="1"/>
  <c r="AA295" i="25" s="1"/>
  <c r="AO295" i="25"/>
  <c r="W281" i="25"/>
  <c r="Z281" i="25" s="1"/>
  <c r="AA281" i="25" s="1"/>
  <c r="AB281" i="25" s="1"/>
  <c r="AO296" i="25"/>
  <c r="U259" i="25"/>
  <c r="AO204" i="25"/>
  <c r="U285" i="25"/>
  <c r="V285" i="25"/>
  <c r="U240" i="25"/>
  <c r="V240" i="25"/>
  <c r="V310" i="25"/>
  <c r="U310" i="25"/>
  <c r="U167" i="25"/>
  <c r="AD135" i="25"/>
  <c r="AE135" i="25" s="1"/>
  <c r="AO138" i="25"/>
  <c r="U196" i="25"/>
  <c r="U164" i="25"/>
  <c r="U132" i="25"/>
  <c r="AO105" i="25"/>
  <c r="AO101" i="25"/>
  <c r="AO97" i="25"/>
  <c r="AO93" i="25"/>
  <c r="AO279" i="25"/>
  <c r="AD232" i="25"/>
  <c r="AE232" i="25" s="1"/>
  <c r="W232" i="25"/>
  <c r="Z232" i="25" s="1"/>
  <c r="AA232" i="25" s="1"/>
  <c r="AB232" i="25" s="1"/>
  <c r="AD71" i="25"/>
  <c r="AE71" i="25" s="1"/>
  <c r="W71" i="25"/>
  <c r="Z71" i="25" s="1"/>
  <c r="AA71" i="25" s="1"/>
  <c r="AB71" i="25" s="1"/>
  <c r="V55" i="25"/>
  <c r="U55" i="25"/>
  <c r="V19" i="25"/>
  <c r="U19" i="25"/>
  <c r="AD65" i="25"/>
  <c r="AE65" i="25" s="1"/>
  <c r="W65" i="25"/>
  <c r="Z65" i="25" s="1"/>
  <c r="AA65" i="25" s="1"/>
  <c r="AB65" i="25" s="1"/>
  <c r="AD13" i="25"/>
  <c r="AE13" i="25" s="1"/>
  <c r="W13" i="25"/>
  <c r="Z13" i="25" s="1"/>
  <c r="AA13" i="25" s="1"/>
  <c r="AB13" i="25" s="1"/>
  <c r="AO120" i="25"/>
  <c r="W86" i="25"/>
  <c r="Z86" i="25" s="1"/>
  <c r="AA86" i="25" s="1"/>
  <c r="AB86" i="25" s="1"/>
  <c r="AD86" i="25"/>
  <c r="AE86" i="25" s="1"/>
  <c r="W88" i="25"/>
  <c r="Z88" i="25" s="1"/>
  <c r="AA88" i="25" s="1"/>
  <c r="AB88" i="25" s="1"/>
  <c r="AD88" i="25"/>
  <c r="AE88" i="25" s="1"/>
  <c r="W56" i="25"/>
  <c r="Z56" i="25" s="1"/>
  <c r="AA56" i="25" s="1"/>
  <c r="AB56" i="25" s="1"/>
  <c r="AD56" i="25"/>
  <c r="AE56" i="25" s="1"/>
  <c r="V50" i="25"/>
  <c r="U50" i="25"/>
  <c r="AD318" i="25"/>
  <c r="AE318" i="25" s="1"/>
  <c r="W318" i="25"/>
  <c r="Z318" i="25" s="1"/>
  <c r="AA318" i="25" s="1"/>
  <c r="AB318" i="25" s="1"/>
  <c r="AO201" i="25"/>
  <c r="U158" i="25"/>
  <c r="AD173" i="25"/>
  <c r="AE173" i="25" s="1"/>
  <c r="W173" i="25"/>
  <c r="Z173" i="25" s="1"/>
  <c r="AA173" i="25" s="1"/>
  <c r="AB173" i="25" s="1"/>
  <c r="U157" i="25"/>
  <c r="AD111" i="25"/>
  <c r="AE111" i="25" s="1"/>
  <c r="W111" i="25"/>
  <c r="Z111" i="25" s="1"/>
  <c r="AA111" i="25" s="1"/>
  <c r="AB111" i="25" s="1"/>
  <c r="AO292" i="25"/>
  <c r="W43" i="25"/>
  <c r="Z43" i="25" s="1"/>
  <c r="AA43" i="25" s="1"/>
  <c r="AB43" i="25" s="1"/>
  <c r="AD43" i="25"/>
  <c r="AE43" i="25" s="1"/>
  <c r="AO23" i="25"/>
  <c r="AO73" i="25"/>
  <c r="AD17" i="25"/>
  <c r="AE17" i="25" s="1"/>
  <c r="W17" i="25"/>
  <c r="Z17" i="25" s="1"/>
  <c r="AA17" i="25" s="1"/>
  <c r="AB17" i="25" s="1"/>
  <c r="U124" i="25"/>
  <c r="V44" i="25"/>
  <c r="U44" i="25"/>
  <c r="W58" i="25"/>
  <c r="Z58" i="25" s="1"/>
  <c r="AA58" i="25" s="1"/>
  <c r="AB58" i="25" s="1"/>
  <c r="AD58" i="25"/>
  <c r="AE58" i="25" s="1"/>
  <c r="AO34" i="25"/>
  <c r="W296" i="25"/>
  <c r="Z296" i="25" s="1"/>
  <c r="AA296" i="25" s="1"/>
  <c r="U296" i="25"/>
  <c r="AD199" i="25"/>
  <c r="AE199" i="25" s="1"/>
  <c r="W199" i="25"/>
  <c r="Z199" i="25" s="1"/>
  <c r="AA199" i="25" s="1"/>
  <c r="AB199" i="25" s="1"/>
  <c r="U183" i="25"/>
  <c r="U266" i="25"/>
  <c r="AD219" i="25"/>
  <c r="AE219" i="25" s="1"/>
  <c r="W219" i="25"/>
  <c r="Z219" i="25" s="1"/>
  <c r="AA219" i="25" s="1"/>
  <c r="AB219" i="25" s="1"/>
  <c r="AO186" i="25"/>
  <c r="U172" i="25"/>
  <c r="U140" i="25"/>
  <c r="V279" i="25"/>
  <c r="U279" i="25"/>
  <c r="AD39" i="25"/>
  <c r="AE39" i="25" s="1"/>
  <c r="W39" i="25"/>
  <c r="Z39" i="25" s="1"/>
  <c r="AA39" i="25" s="1"/>
  <c r="AB39" i="25" s="1"/>
  <c r="AO13" i="25"/>
  <c r="W8" i="25"/>
  <c r="Z8" i="25" s="1"/>
  <c r="AA8" i="25" s="1"/>
  <c r="AB8" i="25" s="1"/>
  <c r="AD8" i="25"/>
  <c r="AE8" i="25" s="1"/>
  <c r="U8" i="25"/>
  <c r="V8" i="25"/>
  <c r="U120" i="25"/>
  <c r="V86" i="25"/>
  <c r="U86" i="25"/>
  <c r="V88" i="25"/>
  <c r="U88" i="25"/>
  <c r="W20" i="25"/>
  <c r="Z20" i="25" s="1"/>
  <c r="AA20" i="25" s="1"/>
  <c r="AB20" i="25" s="1"/>
  <c r="AD20" i="25"/>
  <c r="AE20" i="25" s="1"/>
  <c r="AD45" i="25"/>
  <c r="AE45" i="25" s="1"/>
  <c r="W45" i="25"/>
  <c r="Z45" i="25" s="1"/>
  <c r="AA45" i="25" s="1"/>
  <c r="AB45" i="25" s="1"/>
  <c r="W37" i="25"/>
  <c r="Z37" i="25" s="1"/>
  <c r="AA37" i="25" s="1"/>
  <c r="AB37" i="25" s="1"/>
  <c r="AD37" i="25"/>
  <c r="AE37" i="25" s="1"/>
  <c r="W30" i="25"/>
  <c r="Z30" i="25" s="1"/>
  <c r="AA30" i="25" s="1"/>
  <c r="AB30" i="25" s="1"/>
  <c r="AD30" i="25"/>
  <c r="AE30" i="25" s="1"/>
  <c r="U201" i="25"/>
  <c r="U269" i="25"/>
  <c r="V269" i="25"/>
  <c r="AD190" i="25"/>
  <c r="AE190" i="25" s="1"/>
  <c r="W190" i="25"/>
  <c r="Z190" i="25" s="1"/>
  <c r="AA190" i="25" s="1"/>
  <c r="U173" i="25"/>
  <c r="V173" i="25"/>
  <c r="U225" i="25"/>
  <c r="V225" i="25"/>
  <c r="AO17" i="25"/>
  <c r="V74" i="25"/>
  <c r="U74" i="25"/>
  <c r="W76" i="25"/>
  <c r="Z76" i="25" s="1"/>
  <c r="AA76" i="25" s="1"/>
  <c r="AB76" i="25" s="1"/>
  <c r="AD76" i="25"/>
  <c r="AE76" i="25" s="1"/>
  <c r="AD121" i="25"/>
  <c r="AE121" i="25" s="1"/>
  <c r="W121" i="25"/>
  <c r="Z121" i="25" s="1"/>
  <c r="AA121" i="25" s="1"/>
  <c r="AB121" i="25" s="1"/>
  <c r="V58" i="25"/>
  <c r="U58" i="25"/>
  <c r="V38" i="25"/>
  <c r="U38" i="25"/>
  <c r="AD302" i="25"/>
  <c r="AE302" i="25" s="1"/>
  <c r="W302" i="25"/>
  <c r="Z302" i="25" s="1"/>
  <c r="AA302" i="25" s="1"/>
  <c r="U281" i="25"/>
  <c r="U311" i="25"/>
  <c r="U243" i="25"/>
  <c r="U256" i="25"/>
  <c r="AD240" i="25"/>
  <c r="AE240" i="25" s="1"/>
  <c r="W240" i="25"/>
  <c r="Z240" i="25" s="1"/>
  <c r="AA240" i="25" s="1"/>
  <c r="AO240" i="25"/>
  <c r="AO310" i="25"/>
  <c r="AO206" i="25"/>
  <c r="AO183" i="25"/>
  <c r="AO151" i="25"/>
  <c r="AO266" i="25"/>
  <c r="U242" i="25"/>
  <c r="AD234" i="25"/>
  <c r="AE234" i="25" s="1"/>
  <c r="W234" i="25"/>
  <c r="Z234" i="25" s="1"/>
  <c r="AA234" i="25" s="1"/>
  <c r="AO234" i="25"/>
  <c r="U170" i="25"/>
  <c r="V170" i="25"/>
  <c r="AD138" i="25"/>
  <c r="AE138" i="25" s="1"/>
  <c r="W138" i="25"/>
  <c r="Z138" i="25" s="1"/>
  <c r="AA138" i="25" s="1"/>
  <c r="AB138" i="25" s="1"/>
  <c r="U138" i="25"/>
  <c r="V138" i="25"/>
  <c r="AO196" i="25"/>
  <c r="W188" i="25"/>
  <c r="Z188" i="25" s="1"/>
  <c r="AA188" i="25" s="1"/>
  <c r="AB188" i="25" s="1"/>
  <c r="AD188" i="25"/>
  <c r="AE188" i="25" s="1"/>
  <c r="AO180" i="25"/>
  <c r="AO164" i="25"/>
  <c r="AO148" i="25"/>
  <c r="AO132" i="25"/>
  <c r="AO123" i="25"/>
  <c r="U232" i="25"/>
  <c r="V232" i="25"/>
  <c r="W224" i="25"/>
  <c r="Z224" i="25" s="1"/>
  <c r="AA224" i="25" s="1"/>
  <c r="AO224" i="25"/>
  <c r="AO122" i="25"/>
  <c r="V87" i="25"/>
  <c r="U87" i="25"/>
  <c r="V71" i="25"/>
  <c r="U71" i="25"/>
  <c r="AO55" i="25"/>
  <c r="AO39" i="25"/>
  <c r="AO19" i="25"/>
  <c r="AO113" i="25"/>
  <c r="AO65" i="25"/>
  <c r="AO33" i="25"/>
  <c r="AO8" i="25"/>
  <c r="AO86" i="25"/>
  <c r="AO70" i="25"/>
  <c r="AO88" i="25"/>
  <c r="AO72" i="25"/>
  <c r="AO56" i="25"/>
  <c r="V40" i="25"/>
  <c r="U40" i="25"/>
  <c r="AO40" i="25"/>
  <c r="V20" i="25"/>
  <c r="U20" i="25"/>
  <c r="AO20" i="25"/>
  <c r="AO89" i="25"/>
  <c r="V89" i="25"/>
  <c r="U89" i="25"/>
  <c r="AO45" i="25"/>
  <c r="V45" i="25"/>
  <c r="U45" i="25"/>
  <c r="AO50" i="25"/>
  <c r="AO30" i="25"/>
  <c r="V14" i="25"/>
  <c r="U14" i="25"/>
  <c r="V318" i="25"/>
  <c r="U318" i="25"/>
  <c r="AO187" i="25"/>
  <c r="AD155" i="25"/>
  <c r="AE155" i="25" s="1"/>
  <c r="W155" i="25"/>
  <c r="Z155" i="25" s="1"/>
  <c r="AA155" i="25" s="1"/>
  <c r="U253" i="25"/>
  <c r="AO237" i="25"/>
  <c r="AO190" i="25"/>
  <c r="AO173" i="25"/>
  <c r="AO141" i="25"/>
  <c r="V111" i="25"/>
  <c r="U111" i="25"/>
  <c r="V98" i="25"/>
  <c r="U98" i="25"/>
  <c r="V75" i="25"/>
  <c r="U75" i="25"/>
  <c r="V23" i="25"/>
  <c r="U23" i="25"/>
  <c r="V73" i="25"/>
  <c r="U73" i="25"/>
  <c r="V17" i="25"/>
  <c r="U17" i="25"/>
  <c r="V76" i="25"/>
  <c r="U76" i="25"/>
  <c r="AO58" i="25"/>
  <c r="AO199" i="25"/>
  <c r="AO167" i="25"/>
  <c r="AO135" i="25"/>
  <c r="AO276" i="25"/>
  <c r="U258" i="25"/>
  <c r="V258" i="25"/>
  <c r="AD250" i="25"/>
  <c r="AE250" i="25" s="1"/>
  <c r="W250" i="25"/>
  <c r="Z250" i="25" s="1"/>
  <c r="AA250" i="25" s="1"/>
  <c r="AO250" i="25"/>
  <c r="U219" i="25"/>
  <c r="V219" i="25"/>
  <c r="U186" i="25"/>
  <c r="U154" i="25"/>
  <c r="AO188" i="25"/>
  <c r="AD180" i="25"/>
  <c r="AE180" i="25" s="1"/>
  <c r="AO172" i="25"/>
  <c r="AO156" i="25"/>
  <c r="AO140" i="25"/>
  <c r="AD105" i="25"/>
  <c r="AE105" i="25" s="1"/>
  <c r="W105" i="25"/>
  <c r="Z105" i="25" s="1"/>
  <c r="AA105" i="25" s="1"/>
  <c r="AB105" i="25" s="1"/>
  <c r="V105" i="25"/>
  <c r="U105" i="25"/>
  <c r="AD101" i="25"/>
  <c r="AE101" i="25" s="1"/>
  <c r="W101" i="25"/>
  <c r="Z101" i="25" s="1"/>
  <c r="AA101" i="25" s="1"/>
  <c r="AB101" i="25" s="1"/>
  <c r="V101" i="25"/>
  <c r="U101" i="25"/>
  <c r="AD97" i="25"/>
  <c r="AE97" i="25" s="1"/>
  <c r="W97" i="25"/>
  <c r="Z97" i="25" s="1"/>
  <c r="AA97" i="25" s="1"/>
  <c r="AB97" i="25" s="1"/>
  <c r="V97" i="25"/>
  <c r="U97" i="25"/>
  <c r="AD93" i="25"/>
  <c r="AE93" i="25" s="1"/>
  <c r="W93" i="25"/>
  <c r="Z93" i="25" s="1"/>
  <c r="AA93" i="25" s="1"/>
  <c r="AB93" i="25" s="1"/>
  <c r="V93" i="25"/>
  <c r="U93" i="25"/>
  <c r="AD279" i="25"/>
  <c r="AE279" i="25" s="1"/>
  <c r="W279" i="25"/>
  <c r="Z279" i="25" s="1"/>
  <c r="AA279" i="25" s="1"/>
  <c r="AO71" i="25"/>
  <c r="V65" i="25"/>
  <c r="U65" i="25"/>
  <c r="V33" i="25"/>
  <c r="U33" i="25"/>
  <c r="V13" i="25"/>
  <c r="U13" i="25"/>
  <c r="V72" i="25"/>
  <c r="U72" i="25"/>
  <c r="V56" i="25"/>
  <c r="U56" i="25"/>
  <c r="AO318" i="25"/>
  <c r="AO155" i="25"/>
  <c r="AD269" i="25"/>
  <c r="AE269" i="25" s="1"/>
  <c r="W269" i="25"/>
  <c r="Z269" i="25" s="1"/>
  <c r="AA269" i="25" s="1"/>
  <c r="AO269" i="25"/>
  <c r="AO158" i="25"/>
  <c r="AO197" i="25"/>
  <c r="AO157" i="25"/>
  <c r="AO133" i="25"/>
  <c r="AO98" i="25"/>
  <c r="U292" i="25"/>
  <c r="AD225" i="25"/>
  <c r="AE225" i="25" s="1"/>
  <c r="W225" i="25"/>
  <c r="Z225" i="25" s="1"/>
  <c r="AA225" i="25" s="1"/>
  <c r="AO225" i="25"/>
  <c r="AO43" i="25"/>
  <c r="AO74" i="25"/>
  <c r="AO76" i="25"/>
  <c r="AO44" i="25"/>
  <c r="AO121" i="25"/>
  <c r="K67" i="23"/>
  <c r="M67" i="23" s="1"/>
  <c r="L103" i="23"/>
  <c r="M103" i="23" s="1"/>
  <c r="L88" i="23"/>
  <c r="M88" i="23" s="1"/>
  <c r="K20" i="23"/>
  <c r="M20" i="23" s="1"/>
  <c r="AP5" i="24"/>
  <c r="W316" i="24"/>
  <c r="Y316" i="24" s="1"/>
  <c r="K63" i="23"/>
  <c r="M63" i="23" s="1"/>
  <c r="L49" i="23"/>
  <c r="M49" i="23" s="1"/>
  <c r="K84" i="23"/>
  <c r="M84" i="23" s="1"/>
  <c r="AP225" i="24"/>
  <c r="L60" i="23"/>
  <c r="M60" i="23" s="1"/>
  <c r="AP229" i="24"/>
  <c r="AP271" i="24"/>
  <c r="W304" i="24"/>
  <c r="Y304" i="24" s="1"/>
  <c r="AP260" i="24"/>
  <c r="AP231" i="24"/>
  <c r="AP275" i="24"/>
  <c r="AP253" i="24"/>
  <c r="AP285" i="24"/>
  <c r="AP242" i="24"/>
  <c r="AP274" i="24"/>
  <c r="AP306" i="24"/>
  <c r="AP287" i="24"/>
  <c r="AP289" i="24"/>
  <c r="AP266" i="24"/>
  <c r="AP267" i="24"/>
  <c r="AP238" i="24"/>
  <c r="AP270" i="24"/>
  <c r="AP251" i="24"/>
  <c r="AP224" i="24"/>
  <c r="AP256" i="24"/>
  <c r="AP288" i="24"/>
  <c r="AP311" i="24"/>
  <c r="AP259" i="24"/>
  <c r="AP236" i="24"/>
  <c r="AP300" i="24"/>
  <c r="W302" i="24"/>
  <c r="Y302" i="24" s="1"/>
  <c r="AP233" i="24"/>
  <c r="AP265" i="24"/>
  <c r="AP297" i="24"/>
  <c r="AP222" i="24"/>
  <c r="AP227" i="24"/>
  <c r="AP264" i="24"/>
  <c r="W235" i="24"/>
  <c r="Y235" i="24" s="1"/>
  <c r="W294" i="24"/>
  <c r="Y294" i="24" s="1"/>
  <c r="AP240" i="24"/>
  <c r="AP272" i="24"/>
  <c r="AP304" i="24"/>
  <c r="AP263" i="24"/>
  <c r="AP175" i="24"/>
  <c r="AP209" i="24"/>
  <c r="AP129" i="24"/>
  <c r="AP177" i="24"/>
  <c r="AP201" i="24"/>
  <c r="AP173" i="24"/>
  <c r="AP172" i="24"/>
  <c r="AP189" i="24"/>
  <c r="AP194" i="24"/>
  <c r="AP198" i="24"/>
  <c r="AP184" i="24"/>
  <c r="AP200" i="24"/>
  <c r="AP118" i="24"/>
  <c r="AP117" i="24"/>
  <c r="W234" i="24"/>
  <c r="Y234" i="24" s="1"/>
  <c r="AP192" i="24"/>
  <c r="AP208" i="24"/>
  <c r="AP179" i="24"/>
  <c r="AP191" i="24"/>
  <c r="AP234" i="24"/>
  <c r="AP168" i="24"/>
  <c r="AP181" i="24"/>
  <c r="AP247" i="24"/>
  <c r="AP190" i="24"/>
  <c r="AP167" i="24"/>
  <c r="AP188" i="24"/>
  <c r="AP204" i="24"/>
  <c r="AP299" i="24"/>
  <c r="AP183" i="24"/>
  <c r="W240" i="24"/>
  <c r="Y240" i="24" s="1"/>
  <c r="AP193" i="24"/>
  <c r="AP203" i="24"/>
  <c r="AP148" i="24"/>
  <c r="AP180" i="24"/>
  <c r="AP182" i="24"/>
  <c r="AP199" i="24"/>
  <c r="AP280" i="24"/>
  <c r="AP171" i="24"/>
  <c r="AP277" i="24"/>
  <c r="AP307" i="24"/>
  <c r="AP250" i="24"/>
  <c r="AP314" i="24"/>
  <c r="AP170" i="24"/>
  <c r="AP248" i="24"/>
  <c r="AP296" i="24"/>
  <c r="AP197" i="24"/>
  <c r="AP243" i="24"/>
  <c r="AP125" i="24"/>
  <c r="AP187" i="24"/>
  <c r="AP165" i="24"/>
  <c r="AP121" i="24"/>
  <c r="AP174" i="24"/>
  <c r="AP176" i="24"/>
  <c r="AP169" i="24"/>
  <c r="AP206" i="24"/>
  <c r="AP141" i="24"/>
  <c r="AP178" i="24"/>
  <c r="AP210" i="24"/>
  <c r="AP245" i="24"/>
  <c r="AP205" i="24"/>
  <c r="AP218" i="24"/>
  <c r="AP185" i="24"/>
  <c r="W272" i="24"/>
  <c r="Y272" i="24" s="1"/>
  <c r="AP196" i="24"/>
  <c r="AP166" i="24"/>
  <c r="AP202" i="24"/>
  <c r="AP230" i="24"/>
  <c r="AP262" i="24"/>
  <c r="AP154" i="24"/>
  <c r="AP186" i="24"/>
  <c r="AP207" i="24"/>
  <c r="AP195" i="24"/>
  <c r="AP293" i="24"/>
  <c r="AP119" i="24"/>
  <c r="AP219" i="24"/>
  <c r="AP130" i="24"/>
  <c r="AP221" i="24"/>
  <c r="AP317" i="24"/>
  <c r="AP228" i="24"/>
  <c r="AP292" i="24"/>
  <c r="AP257" i="24"/>
  <c r="AP133" i="24"/>
  <c r="AP294" i="24"/>
  <c r="AP283" i="24"/>
  <c r="AP268" i="24"/>
  <c r="AP279" i="24"/>
  <c r="AP232" i="24"/>
  <c r="AP312" i="24"/>
  <c r="W288" i="24"/>
  <c r="Y288" i="24" s="1"/>
  <c r="W269" i="24"/>
  <c r="Y269" i="24" s="1"/>
  <c r="W229" i="24"/>
  <c r="Y229" i="24" s="1"/>
  <c r="W230" i="24"/>
  <c r="Y230" i="24" s="1"/>
  <c r="W289" i="24"/>
  <c r="Y289" i="24" s="1"/>
  <c r="AP303" i="24"/>
  <c r="AP302" i="24"/>
  <c r="AP290" i="24"/>
  <c r="AP134" i="24"/>
  <c r="AP111" i="24"/>
  <c r="AP309" i="24"/>
  <c r="AP282" i="24"/>
  <c r="AP113" i="24"/>
  <c r="AP244" i="24"/>
  <c r="AP276" i="24"/>
  <c r="AP308" i="24"/>
  <c r="AP241" i="24"/>
  <c r="AP239" i="24"/>
  <c r="AP246" i="24"/>
  <c r="AP278" i="24"/>
  <c r="AP310" i="24"/>
  <c r="AP156" i="24"/>
  <c r="AP298" i="24"/>
  <c r="W267" i="24"/>
  <c r="Y267" i="24" s="1"/>
  <c r="AP220" i="24"/>
  <c r="AP252" i="24"/>
  <c r="AP284" i="24"/>
  <c r="AP316" i="24"/>
  <c r="AP223" i="24"/>
  <c r="AP116" i="24"/>
  <c r="AP254" i="24"/>
  <c r="AP286" i="24"/>
  <c r="AP162" i="24"/>
  <c r="AP235" i="24"/>
  <c r="AP315" i="24"/>
  <c r="AP237" i="24"/>
  <c r="AP269" i="24"/>
  <c r="AP301" i="24"/>
  <c r="AP226" i="24"/>
  <c r="AP258" i="24"/>
  <c r="AP158" i="24"/>
  <c r="AP136" i="24"/>
  <c r="AP147" i="24"/>
  <c r="AP261" i="24"/>
  <c r="AP255" i="24"/>
  <c r="AP295" i="24"/>
  <c r="AP249" i="24"/>
  <c r="AP281" i="24"/>
  <c r="AP313" i="24"/>
  <c r="AP139" i="24"/>
  <c r="AP114" i="24"/>
  <c r="AP145" i="24"/>
  <c r="AP140" i="24"/>
  <c r="AP163" i="24"/>
  <c r="AP124" i="24"/>
  <c r="AP273" i="24"/>
  <c r="AP305" i="24"/>
  <c r="AP291" i="24"/>
  <c r="AP161" i="24"/>
  <c r="AP137" i="24"/>
  <c r="W127" i="24"/>
  <c r="Y127" i="24" s="1"/>
  <c r="X127" i="24"/>
  <c r="AA127" i="24" s="1"/>
  <c r="AB127" i="24" s="1"/>
  <c r="AC127" i="24" s="1"/>
  <c r="AE127" i="24"/>
  <c r="AF127" i="24" s="1"/>
  <c r="AI127" i="24"/>
  <c r="V123" i="24"/>
  <c r="V199" i="24"/>
  <c r="V191" i="24"/>
  <c r="W121" i="24"/>
  <c r="Y121" i="24" s="1"/>
  <c r="X121" i="24"/>
  <c r="AA121" i="24" s="1"/>
  <c r="AB121" i="24" s="1"/>
  <c r="AC121" i="24" s="1"/>
  <c r="AE121" i="24"/>
  <c r="AF121" i="24" s="1"/>
  <c r="AI121" i="24"/>
  <c r="V311" i="24"/>
  <c r="W311" i="24"/>
  <c r="V131" i="24"/>
  <c r="W259" i="24"/>
  <c r="Y259" i="24" s="1"/>
  <c r="V173" i="24"/>
  <c r="W173" i="24"/>
  <c r="AE111" i="24"/>
  <c r="AF111" i="24" s="1"/>
  <c r="X111" i="24"/>
  <c r="AA111" i="24" s="1"/>
  <c r="AB111" i="24" s="1"/>
  <c r="AC111" i="24" s="1"/>
  <c r="AI111" i="24"/>
  <c r="X197" i="24"/>
  <c r="AA197" i="24" s="1"/>
  <c r="AB197" i="24" s="1"/>
  <c r="AC197" i="24" s="1"/>
  <c r="AE197" i="24"/>
  <c r="AF197" i="24" s="1"/>
  <c r="L100" i="23"/>
  <c r="M100" i="23" s="1"/>
  <c r="W220" i="24"/>
  <c r="Y220" i="24" s="1"/>
  <c r="AP144" i="24"/>
  <c r="AP160" i="24"/>
  <c r="AP126" i="24"/>
  <c r="AP143" i="24"/>
  <c r="X175" i="24"/>
  <c r="AA175" i="24" s="1"/>
  <c r="AB175" i="24" s="1"/>
  <c r="AC175" i="24" s="1"/>
  <c r="AJ175" i="24" s="1"/>
  <c r="AE175" i="24"/>
  <c r="AF175" i="24" s="1"/>
  <c r="AP146" i="24"/>
  <c r="W178" i="24"/>
  <c r="Y178" i="24" s="1"/>
  <c r="X178" i="24"/>
  <c r="AA178" i="24" s="1"/>
  <c r="AB178" i="24" s="1"/>
  <c r="AC178" i="24" s="1"/>
  <c r="AJ178" i="24" s="1"/>
  <c r="AE178" i="24"/>
  <c r="AF178" i="24" s="1"/>
  <c r="AP120" i="24"/>
  <c r="AP132" i="24"/>
  <c r="AP164" i="24"/>
  <c r="V201" i="24"/>
  <c r="AP151" i="24"/>
  <c r="AP123" i="24"/>
  <c r="AP155" i="24"/>
  <c r="AP150" i="24"/>
  <c r="V111" i="24"/>
  <c r="W111" i="24"/>
  <c r="X140" i="24"/>
  <c r="AA140" i="24" s="1"/>
  <c r="AB140" i="24" s="1"/>
  <c r="AC140" i="24" s="1"/>
  <c r="AJ140" i="24" s="1"/>
  <c r="AE140" i="24"/>
  <c r="AF140" i="24" s="1"/>
  <c r="V189" i="24"/>
  <c r="V194" i="24"/>
  <c r="AP135" i="24"/>
  <c r="V198" i="24"/>
  <c r="AP152" i="24"/>
  <c r="W138" i="24"/>
  <c r="Y138" i="24" s="1"/>
  <c r="AE138" i="24"/>
  <c r="AF138" i="24" s="1"/>
  <c r="X138" i="24"/>
  <c r="AA138" i="24" s="1"/>
  <c r="AB138" i="24" s="1"/>
  <c r="AC138" i="24" s="1"/>
  <c r="AJ138" i="24" s="1"/>
  <c r="V207" i="24"/>
  <c r="V195" i="24"/>
  <c r="V115" i="24"/>
  <c r="V128" i="24"/>
  <c r="W197" i="24"/>
  <c r="V197" i="24"/>
  <c r="AP142" i="24"/>
  <c r="V187" i="24"/>
  <c r="V124" i="24"/>
  <c r="W124" i="24"/>
  <c r="V156" i="24"/>
  <c r="W251" i="24"/>
  <c r="Y251" i="24" s="1"/>
  <c r="AE160" i="24"/>
  <c r="AF160" i="24" s="1"/>
  <c r="X160" i="24"/>
  <c r="AA160" i="24" s="1"/>
  <c r="AB160" i="24" s="1"/>
  <c r="AC160" i="24" s="1"/>
  <c r="AJ160" i="24" s="1"/>
  <c r="AE126" i="24"/>
  <c r="AF126" i="24" s="1"/>
  <c r="X126" i="24"/>
  <c r="AA126" i="24" s="1"/>
  <c r="AB126" i="24" s="1"/>
  <c r="AC126" i="24" s="1"/>
  <c r="AJ126" i="24" s="1"/>
  <c r="V193" i="24"/>
  <c r="V175" i="24"/>
  <c r="W175" i="24"/>
  <c r="V141" i="24"/>
  <c r="V165" i="24"/>
  <c r="W129" i="24"/>
  <c r="Y129" i="24" s="1"/>
  <c r="X129" i="24"/>
  <c r="AA129" i="24" s="1"/>
  <c r="AB129" i="24" s="1"/>
  <c r="AC129" i="24" s="1"/>
  <c r="AJ129" i="24" s="1"/>
  <c r="AE129" i="24"/>
  <c r="AF129" i="24" s="1"/>
  <c r="V203" i="24"/>
  <c r="W164" i="24"/>
  <c r="Y164" i="24" s="1"/>
  <c r="X164" i="24"/>
  <c r="AA164" i="24" s="1"/>
  <c r="AB164" i="24" s="1"/>
  <c r="AC164" i="24" s="1"/>
  <c r="AJ164" i="24" s="1"/>
  <c r="AE164" i="24"/>
  <c r="AF164" i="24" s="1"/>
  <c r="X180" i="24"/>
  <c r="AA180" i="24" s="1"/>
  <c r="AB180" i="24" s="1"/>
  <c r="AC180" i="24" s="1"/>
  <c r="AJ180" i="24" s="1"/>
  <c r="AE180" i="24"/>
  <c r="AF180" i="24" s="1"/>
  <c r="AP131" i="24"/>
  <c r="V140" i="24"/>
  <c r="W140" i="24"/>
  <c r="V172" i="24"/>
  <c r="W135" i="24"/>
  <c r="Y135" i="24" s="1"/>
  <c r="X135" i="24"/>
  <c r="AA135" i="24" s="1"/>
  <c r="AB135" i="24" s="1"/>
  <c r="AC135" i="24" s="1"/>
  <c r="AJ135" i="24" s="1"/>
  <c r="AE135" i="24"/>
  <c r="AF135" i="24" s="1"/>
  <c r="W202" i="24"/>
  <c r="Y202" i="24" s="1"/>
  <c r="X202" i="24"/>
  <c r="AA202" i="24" s="1"/>
  <c r="AB202" i="24" s="1"/>
  <c r="AC202" i="24" s="1"/>
  <c r="AJ202" i="24" s="1"/>
  <c r="AE202" i="24"/>
  <c r="AF202" i="24" s="1"/>
  <c r="AE200" i="24"/>
  <c r="AF200" i="24" s="1"/>
  <c r="X200" i="24"/>
  <c r="AA200" i="24" s="1"/>
  <c r="AB200" i="24" s="1"/>
  <c r="AC200" i="24" s="1"/>
  <c r="AJ200" i="24" s="1"/>
  <c r="AP157" i="24"/>
  <c r="AP112" i="24"/>
  <c r="V159" i="24"/>
  <c r="V133" i="24"/>
  <c r="V185" i="24"/>
  <c r="V167" i="24"/>
  <c r="V154" i="24"/>
  <c r="V186" i="24"/>
  <c r="V147" i="24"/>
  <c r="V125" i="24"/>
  <c r="V112" i="24"/>
  <c r="W252" i="24"/>
  <c r="Y252" i="24" s="1"/>
  <c r="V160" i="24"/>
  <c r="W160" i="24"/>
  <c r="V176" i="24"/>
  <c r="V192" i="24"/>
  <c r="V208" i="24"/>
  <c r="V126" i="24"/>
  <c r="W126" i="24"/>
  <c r="V169" i="24"/>
  <c r="V143" i="24"/>
  <c r="V116" i="24"/>
  <c r="V162" i="24"/>
  <c r="V179" i="24"/>
  <c r="V132" i="24"/>
  <c r="W180" i="24"/>
  <c r="V180" i="24"/>
  <c r="AP127" i="24"/>
  <c r="AE173" i="24"/>
  <c r="AF173" i="24" s="1"/>
  <c r="X173" i="24"/>
  <c r="AA173" i="24" s="1"/>
  <c r="AB173" i="24" s="1"/>
  <c r="AC173" i="24" s="1"/>
  <c r="AJ173" i="24" s="1"/>
  <c r="AP122" i="24"/>
  <c r="AP153" i="24"/>
  <c r="V158" i="24"/>
  <c r="V163" i="24"/>
  <c r="V113" i="24"/>
  <c r="V152" i="24"/>
  <c r="V200" i="24"/>
  <c r="W200" i="24"/>
  <c r="W118" i="24"/>
  <c r="Y118" i="24" s="1"/>
  <c r="AE118" i="24"/>
  <c r="AF118" i="24" s="1"/>
  <c r="X118" i="24"/>
  <c r="AA118" i="24" s="1"/>
  <c r="AB118" i="24" s="1"/>
  <c r="AC118" i="24" s="1"/>
  <c r="AJ118" i="24" s="1"/>
  <c r="V205" i="24"/>
  <c r="AE124" i="24"/>
  <c r="AF124" i="24" s="1"/>
  <c r="X124" i="24"/>
  <c r="AA124" i="24" s="1"/>
  <c r="AB124" i="24" s="1"/>
  <c r="AC124" i="24" s="1"/>
  <c r="AJ124" i="24" s="1"/>
  <c r="AP159" i="24"/>
  <c r="AP149" i="24"/>
  <c r="AP138" i="24"/>
  <c r="AP115" i="24"/>
  <c r="AP128" i="24"/>
  <c r="AI197" i="24"/>
  <c r="V183" i="24"/>
  <c r="W221" i="24"/>
  <c r="Y221" i="24" s="1"/>
  <c r="L24" i="23"/>
  <c r="M24" i="23" s="1"/>
  <c r="K42" i="23"/>
  <c r="M42" i="23" s="1"/>
  <c r="K66" i="23"/>
  <c r="M66" i="23" s="1"/>
  <c r="K74" i="23"/>
  <c r="M74" i="23" s="1"/>
  <c r="X246" i="24"/>
  <c r="AA246" i="24" s="1"/>
  <c r="AB246" i="24" s="1"/>
  <c r="AC246" i="24" s="1"/>
  <c r="AE246" i="24"/>
  <c r="AF246" i="24" s="1"/>
  <c r="AI246" i="24"/>
  <c r="AI308" i="24"/>
  <c r="AE308" i="24"/>
  <c r="AF308" i="24" s="1"/>
  <c r="X308" i="24"/>
  <c r="AA308" i="24" s="1"/>
  <c r="AB308" i="24" s="1"/>
  <c r="AC308" i="24" s="1"/>
  <c r="V285" i="24"/>
  <c r="V228" i="24"/>
  <c r="W228" i="24"/>
  <c r="AE303" i="24"/>
  <c r="AF303" i="24" s="1"/>
  <c r="AI303" i="24"/>
  <c r="X303" i="24"/>
  <c r="AA303" i="24" s="1"/>
  <c r="AB303" i="24" s="1"/>
  <c r="AC303" i="24" s="1"/>
  <c r="W298" i="24"/>
  <c r="Y298" i="24" s="1"/>
  <c r="AI298" i="24"/>
  <c r="AE298" i="24"/>
  <c r="AF298" i="24" s="1"/>
  <c r="X298" i="24"/>
  <c r="AA298" i="24" s="1"/>
  <c r="AB298" i="24" s="1"/>
  <c r="AC298" i="24" s="1"/>
  <c r="V280" i="24"/>
  <c r="W280" i="24"/>
  <c r="V297" i="24"/>
  <c r="V246" i="24"/>
  <c r="W246" i="24"/>
  <c r="AE241" i="24"/>
  <c r="AF241" i="24" s="1"/>
  <c r="AI241" i="24"/>
  <c r="X241" i="24"/>
  <c r="AA241" i="24" s="1"/>
  <c r="AB241" i="24" s="1"/>
  <c r="AC241" i="24" s="1"/>
  <c r="AI260" i="24"/>
  <c r="AE260" i="24"/>
  <c r="AF260" i="24" s="1"/>
  <c r="X260" i="24"/>
  <c r="AA260" i="24" s="1"/>
  <c r="AB260" i="24" s="1"/>
  <c r="AC260" i="24" s="1"/>
  <c r="AE224" i="24"/>
  <c r="AF224" i="24" s="1"/>
  <c r="AI224" i="24"/>
  <c r="X224" i="24"/>
  <c r="AA224" i="24" s="1"/>
  <c r="AB224" i="24" s="1"/>
  <c r="AC224" i="24" s="1"/>
  <c r="AI265" i="24"/>
  <c r="AE265" i="24"/>
  <c r="AF265" i="24" s="1"/>
  <c r="X265" i="24"/>
  <c r="AA265" i="24" s="1"/>
  <c r="AB265" i="24" s="1"/>
  <c r="AC265" i="24" s="1"/>
  <c r="AE274" i="24"/>
  <c r="AF274" i="24" s="1"/>
  <c r="AI274" i="24"/>
  <c r="X274" i="24"/>
  <c r="AA274" i="24" s="1"/>
  <c r="AB274" i="24" s="1"/>
  <c r="AC274" i="24" s="1"/>
  <c r="V232" i="24"/>
  <c r="AE223" i="24"/>
  <c r="AF223" i="24" s="1"/>
  <c r="AI223" i="24"/>
  <c r="X223" i="24"/>
  <c r="AA223" i="24" s="1"/>
  <c r="AB223" i="24" s="1"/>
  <c r="AC223" i="24" s="1"/>
  <c r="AI244" i="24"/>
  <c r="AE244" i="24"/>
  <c r="AF244" i="24" s="1"/>
  <c r="X244" i="24"/>
  <c r="AA244" i="24" s="1"/>
  <c r="AB244" i="24" s="1"/>
  <c r="AC244" i="24" s="1"/>
  <c r="V313" i="24"/>
  <c r="V271" i="24"/>
  <c r="AI294" i="24"/>
  <c r="AE294" i="24"/>
  <c r="AF294" i="24" s="1"/>
  <c r="X294" i="24"/>
  <c r="AA294" i="24" s="1"/>
  <c r="AB294" i="24" s="1"/>
  <c r="AC294" i="24" s="1"/>
  <c r="V305" i="24"/>
  <c r="W305" i="24"/>
  <c r="AE302" i="24"/>
  <c r="AF302" i="24" s="1"/>
  <c r="AI302" i="24"/>
  <c r="X302" i="24"/>
  <c r="AA302" i="24" s="1"/>
  <c r="AB302" i="24" s="1"/>
  <c r="AC302" i="24" s="1"/>
  <c r="W308" i="24"/>
  <c r="Y308" i="24" s="1"/>
  <c r="AI242" i="24"/>
  <c r="AE242" i="24"/>
  <c r="AF242" i="24" s="1"/>
  <c r="X242" i="24"/>
  <c r="AA242" i="24" s="1"/>
  <c r="AB242" i="24" s="1"/>
  <c r="AC242" i="24" s="1"/>
  <c r="AE280" i="24"/>
  <c r="AF280" i="24" s="1"/>
  <c r="AI280" i="24"/>
  <c r="X280" i="24"/>
  <c r="AA280" i="24" s="1"/>
  <c r="AB280" i="24" s="1"/>
  <c r="AC280" i="24" s="1"/>
  <c r="AE237" i="24"/>
  <c r="AF237" i="24" s="1"/>
  <c r="AI237" i="24"/>
  <c r="X237" i="24"/>
  <c r="AA237" i="24" s="1"/>
  <c r="AB237" i="24" s="1"/>
  <c r="AC237" i="24" s="1"/>
  <c r="AE225" i="24"/>
  <c r="AF225" i="24" s="1"/>
  <c r="AI225" i="24"/>
  <c r="X225" i="24"/>
  <c r="AA225" i="24" s="1"/>
  <c r="AB225" i="24" s="1"/>
  <c r="AC225" i="24" s="1"/>
  <c r="V295" i="24"/>
  <c r="W295" i="24"/>
  <c r="V247" i="24"/>
  <c r="W237" i="24"/>
  <c r="Y237" i="24" s="1"/>
  <c r="W260" i="24"/>
  <c r="Y260" i="24" s="1"/>
  <c r="W274" i="24"/>
  <c r="Y274" i="24" s="1"/>
  <c r="AE286" i="24"/>
  <c r="AF286" i="24" s="1"/>
  <c r="AI286" i="24"/>
  <c r="X286" i="24"/>
  <c r="AA286" i="24" s="1"/>
  <c r="AB286" i="24" s="1"/>
  <c r="AC286" i="24" s="1"/>
  <c r="V317" i="24"/>
  <c r="W317" i="24"/>
  <c r="V277" i="24"/>
  <c r="V224" i="24"/>
  <c r="W224" i="24"/>
  <c r="V255" i="24"/>
  <c r="W255" i="24"/>
  <c r="V233" i="24"/>
  <c r="V310" i="24"/>
  <c r="W310" i="24"/>
  <c r="V315" i="24"/>
  <c r="W315" i="24"/>
  <c r="AI252" i="24"/>
  <c r="AE252" i="24"/>
  <c r="AF252" i="24" s="1"/>
  <c r="X252" i="24"/>
  <c r="AA252" i="24" s="1"/>
  <c r="AB252" i="24" s="1"/>
  <c r="AC252" i="24" s="1"/>
  <c r="AE217" i="24"/>
  <c r="AF217" i="24" s="1"/>
  <c r="AI217" i="24"/>
  <c r="X217" i="24"/>
  <c r="AA217" i="24" s="1"/>
  <c r="AB217" i="24" s="1"/>
  <c r="AC217" i="24" s="1"/>
  <c r="AI221" i="24"/>
  <c r="AE221" i="24"/>
  <c r="AF221" i="24" s="1"/>
  <c r="X221" i="24"/>
  <c r="AA221" i="24" s="1"/>
  <c r="AB221" i="24" s="1"/>
  <c r="AC221" i="24" s="1"/>
  <c r="AI288" i="24"/>
  <c r="AE288" i="24"/>
  <c r="AF288" i="24" s="1"/>
  <c r="X288" i="24"/>
  <c r="AA288" i="24" s="1"/>
  <c r="AB288" i="24" s="1"/>
  <c r="AC288" i="24" s="1"/>
  <c r="AI267" i="24"/>
  <c r="AE267" i="24"/>
  <c r="AF267" i="24" s="1"/>
  <c r="X267" i="24"/>
  <c r="AA267" i="24" s="1"/>
  <c r="AB267" i="24" s="1"/>
  <c r="AC267" i="24" s="1"/>
  <c r="V257" i="24"/>
  <c r="W257" i="24"/>
  <c r="AE317" i="24"/>
  <c r="AF317" i="24" s="1"/>
  <c r="AI317" i="24"/>
  <c r="X317" i="24"/>
  <c r="AA317" i="24" s="1"/>
  <c r="AB317" i="24" s="1"/>
  <c r="AC317" i="24" s="1"/>
  <c r="AI275" i="24"/>
  <c r="AE275" i="24"/>
  <c r="AF275" i="24" s="1"/>
  <c r="X275" i="24"/>
  <c r="AA275" i="24" s="1"/>
  <c r="AB275" i="24" s="1"/>
  <c r="AC275" i="24" s="1"/>
  <c r="AE255" i="24"/>
  <c r="AF255" i="24" s="1"/>
  <c r="AI255" i="24"/>
  <c r="X255" i="24"/>
  <c r="AA255" i="24" s="1"/>
  <c r="AB255" i="24" s="1"/>
  <c r="AC255" i="24" s="1"/>
  <c r="AE269" i="24"/>
  <c r="AF269" i="24" s="1"/>
  <c r="AI269" i="24"/>
  <c r="X269" i="24"/>
  <c r="AA269" i="24" s="1"/>
  <c r="AB269" i="24" s="1"/>
  <c r="AC269" i="24" s="1"/>
  <c r="AI220" i="24"/>
  <c r="AE220" i="24"/>
  <c r="AF220" i="24" s="1"/>
  <c r="X220" i="24"/>
  <c r="AA220" i="24" s="1"/>
  <c r="AB220" i="24" s="1"/>
  <c r="AC220" i="24" s="1"/>
  <c r="W275" i="24"/>
  <c r="V275" i="24"/>
  <c r="AI287" i="24"/>
  <c r="AE287" i="24"/>
  <c r="AF287" i="24" s="1"/>
  <c r="X287" i="24"/>
  <c r="AA287" i="24" s="1"/>
  <c r="AB287" i="24" s="1"/>
  <c r="AC287" i="24" s="1"/>
  <c r="AE236" i="24"/>
  <c r="AF236" i="24" s="1"/>
  <c r="AI236" i="24"/>
  <c r="X236" i="24"/>
  <c r="AA236" i="24" s="1"/>
  <c r="AB236" i="24" s="1"/>
  <c r="AC236" i="24" s="1"/>
  <c r="AE222" i="24"/>
  <c r="AF222" i="24" s="1"/>
  <c r="AI222" i="24"/>
  <c r="X222" i="24"/>
  <c r="AA222" i="24" s="1"/>
  <c r="AB222" i="24" s="1"/>
  <c r="AC222" i="24" s="1"/>
  <c r="V287" i="24"/>
  <c r="W287" i="24"/>
  <c r="V268" i="24"/>
  <c r="W244" i="24"/>
  <c r="V244" i="24"/>
  <c r="AI289" i="24"/>
  <c r="AE289" i="24"/>
  <c r="AF289" i="24" s="1"/>
  <c r="X289" i="24"/>
  <c r="AA289" i="24" s="1"/>
  <c r="AB289" i="24" s="1"/>
  <c r="AC289" i="24" s="1"/>
  <c r="X293" i="24"/>
  <c r="AA293" i="24" s="1"/>
  <c r="AB293" i="24" s="1"/>
  <c r="AC293" i="24" s="1"/>
  <c r="AI293" i="24"/>
  <c r="AE293" i="24"/>
  <c r="AF293" i="24" s="1"/>
  <c r="W241" i="24"/>
  <c r="Y241" i="24" s="1"/>
  <c r="AI251" i="24"/>
  <c r="AE251" i="24"/>
  <c r="AF251" i="24" s="1"/>
  <c r="X251" i="24"/>
  <c r="AA251" i="24" s="1"/>
  <c r="AB251" i="24" s="1"/>
  <c r="AC251" i="24" s="1"/>
  <c r="V263" i="24"/>
  <c r="V307" i="24"/>
  <c r="V301" i="24"/>
  <c r="W301" i="24"/>
  <c r="V248" i="24"/>
  <c r="W248" i="24"/>
  <c r="V265" i="24"/>
  <c r="W265" i="24"/>
  <c r="V236" i="24"/>
  <c r="W236" i="24"/>
  <c r="AE229" i="24"/>
  <c r="AF229" i="24" s="1"/>
  <c r="AI229" i="24"/>
  <c r="X229" i="24"/>
  <c r="AA229" i="24" s="1"/>
  <c r="AB229" i="24" s="1"/>
  <c r="AC229" i="24" s="1"/>
  <c r="V238" i="24"/>
  <c r="AE219" i="24"/>
  <c r="AF219" i="24" s="1"/>
  <c r="AI219" i="24"/>
  <c r="X219" i="24"/>
  <c r="AA219" i="24" s="1"/>
  <c r="AB219" i="24" s="1"/>
  <c r="AC219" i="24" s="1"/>
  <c r="X301" i="24"/>
  <c r="AA301" i="24" s="1"/>
  <c r="AB301" i="24" s="1"/>
  <c r="AC301" i="24" s="1"/>
  <c r="AI301" i="24"/>
  <c r="AE301" i="24"/>
  <c r="AF301" i="24" s="1"/>
  <c r="K58" i="23"/>
  <c r="M58" i="23" s="1"/>
  <c r="AE316" i="24"/>
  <c r="AF316" i="24" s="1"/>
  <c r="AI316" i="24"/>
  <c r="X316" i="24"/>
  <c r="AA316" i="24" s="1"/>
  <c r="AB316" i="24" s="1"/>
  <c r="AC316" i="24" s="1"/>
  <c r="AI272" i="24"/>
  <c r="AE272" i="24"/>
  <c r="AF272" i="24" s="1"/>
  <c r="X272" i="24"/>
  <c r="AA272" i="24" s="1"/>
  <c r="AB272" i="24" s="1"/>
  <c r="AC272" i="24" s="1"/>
  <c r="AE315" i="24"/>
  <c r="AF315" i="24" s="1"/>
  <c r="AI315" i="24"/>
  <c r="X315" i="24"/>
  <c r="AA315" i="24" s="1"/>
  <c r="AB315" i="24" s="1"/>
  <c r="AC315" i="24" s="1"/>
  <c r="AI235" i="24"/>
  <c r="AE235" i="24"/>
  <c r="AF235" i="24" s="1"/>
  <c r="X235" i="24"/>
  <c r="AA235" i="24" s="1"/>
  <c r="AB235" i="24" s="1"/>
  <c r="AC235" i="24" s="1"/>
  <c r="V309" i="24"/>
  <c r="V256" i="24"/>
  <c r="AE248" i="24"/>
  <c r="AF248" i="24" s="1"/>
  <c r="AI248" i="24"/>
  <c r="X248" i="24"/>
  <c r="AA248" i="24" s="1"/>
  <c r="AB248" i="24" s="1"/>
  <c r="AC248" i="24" s="1"/>
  <c r="AE310" i="24"/>
  <c r="AF310" i="24" s="1"/>
  <c r="AI310" i="24"/>
  <c r="X310" i="24"/>
  <c r="AA310" i="24" s="1"/>
  <c r="AB310" i="24" s="1"/>
  <c r="AC310" i="24" s="1"/>
  <c r="AI257" i="24"/>
  <c r="AE257" i="24"/>
  <c r="AF257" i="24" s="1"/>
  <c r="X257" i="24"/>
  <c r="AA257" i="24" s="1"/>
  <c r="AB257" i="24" s="1"/>
  <c r="AC257" i="24" s="1"/>
  <c r="W225" i="24"/>
  <c r="Y225" i="24" s="1"/>
  <c r="W242" i="24"/>
  <c r="Y242" i="24" s="1"/>
  <c r="W293" i="24"/>
  <c r="Y293" i="24" s="1"/>
  <c r="AI273" i="24"/>
  <c r="AE273" i="24"/>
  <c r="AF273" i="24" s="1"/>
  <c r="X273" i="24"/>
  <c r="AA273" i="24" s="1"/>
  <c r="AB273" i="24" s="1"/>
  <c r="AC273" i="24" s="1"/>
  <c r="V245" i="24"/>
  <c r="V303" i="24"/>
  <c r="W303" i="24"/>
  <c r="V223" i="24"/>
  <c r="W223" i="24"/>
  <c r="V300" i="24"/>
  <c r="V262" i="24"/>
  <c r="V219" i="24"/>
  <c r="W219" i="24"/>
  <c r="AE231" i="24"/>
  <c r="AF231" i="24" s="1"/>
  <c r="AI231" i="24"/>
  <c r="X231" i="24"/>
  <c r="AA231" i="24" s="1"/>
  <c r="AB231" i="24" s="1"/>
  <c r="AC231" i="24" s="1"/>
  <c r="AE259" i="24"/>
  <c r="AF259" i="24" s="1"/>
  <c r="AI259" i="24"/>
  <c r="X259" i="24"/>
  <c r="AA259" i="24" s="1"/>
  <c r="AB259" i="24" s="1"/>
  <c r="AC259" i="24" s="1"/>
  <c r="AI304" i="24"/>
  <c r="AE304" i="24"/>
  <c r="AF304" i="24" s="1"/>
  <c r="X304" i="24"/>
  <c r="AA304" i="24" s="1"/>
  <c r="AB304" i="24" s="1"/>
  <c r="AC304" i="24" s="1"/>
  <c r="W276" i="24"/>
  <c r="Y276" i="24" s="1"/>
  <c r="AI276" i="24"/>
  <c r="AE276" i="24"/>
  <c r="AF276" i="24" s="1"/>
  <c r="X276" i="24"/>
  <c r="AA276" i="24" s="1"/>
  <c r="AB276" i="24" s="1"/>
  <c r="AC276" i="24" s="1"/>
  <c r="AE234" i="24"/>
  <c r="AF234" i="24" s="1"/>
  <c r="AI234" i="24"/>
  <c r="X234" i="24"/>
  <c r="AA234" i="24" s="1"/>
  <c r="AB234" i="24" s="1"/>
  <c r="AC234" i="24" s="1"/>
  <c r="AE230" i="24"/>
  <c r="AF230" i="24" s="1"/>
  <c r="AI230" i="24"/>
  <c r="X230" i="24"/>
  <c r="AA230" i="24" s="1"/>
  <c r="AB230" i="24" s="1"/>
  <c r="AC230" i="24" s="1"/>
  <c r="AE305" i="24"/>
  <c r="AF305" i="24" s="1"/>
  <c r="AI305" i="24"/>
  <c r="X305" i="24"/>
  <c r="AA305" i="24" s="1"/>
  <c r="AB305" i="24" s="1"/>
  <c r="AC305" i="24" s="1"/>
  <c r="AI240" i="24"/>
  <c r="AE240" i="24"/>
  <c r="AF240" i="24" s="1"/>
  <c r="X240" i="24"/>
  <c r="AA240" i="24" s="1"/>
  <c r="AB240" i="24" s="1"/>
  <c r="AC240" i="24" s="1"/>
  <c r="AE311" i="24"/>
  <c r="AF311" i="24" s="1"/>
  <c r="AI311" i="24"/>
  <c r="X311" i="24"/>
  <c r="AA311" i="24" s="1"/>
  <c r="AB311" i="24" s="1"/>
  <c r="AC311" i="24" s="1"/>
  <c r="AE295" i="24"/>
  <c r="AF295" i="24" s="1"/>
  <c r="AI295" i="24"/>
  <c r="X295" i="24"/>
  <c r="AA295" i="24" s="1"/>
  <c r="AB295" i="24" s="1"/>
  <c r="AC295" i="24" s="1"/>
  <c r="W231" i="24"/>
  <c r="Y231" i="24" s="1"/>
  <c r="W217" i="24"/>
  <c r="Y217" i="24" s="1"/>
  <c r="W286" i="24"/>
  <c r="Y286" i="24" s="1"/>
  <c r="W222" i="24"/>
  <c r="Y222" i="24" s="1"/>
  <c r="AE228" i="24"/>
  <c r="AF228" i="24" s="1"/>
  <c r="AI228" i="24"/>
  <c r="X228" i="24"/>
  <c r="AA228" i="24" s="1"/>
  <c r="AB228" i="24" s="1"/>
  <c r="AC228" i="24" s="1"/>
  <c r="W273" i="24"/>
  <c r="Y273" i="24" s="1"/>
  <c r="AP60" i="24"/>
  <c r="AP41" i="24"/>
  <c r="AP40" i="24"/>
  <c r="AP63" i="24"/>
  <c r="AP72" i="24"/>
  <c r="AP64" i="24"/>
  <c r="AP83" i="24"/>
  <c r="AP27" i="24"/>
  <c r="AP101" i="24"/>
  <c r="AP42" i="24"/>
  <c r="AP56" i="24"/>
  <c r="AP46" i="24"/>
  <c r="AP18" i="24"/>
  <c r="AP10" i="24"/>
  <c r="AP79" i="24"/>
  <c r="AP55" i="24"/>
  <c r="AP54" i="24"/>
  <c r="AP91" i="24"/>
  <c r="AP87" i="24"/>
  <c r="AP59" i="24"/>
  <c r="AP36" i="24"/>
  <c r="AP28" i="24"/>
  <c r="V14" i="24"/>
  <c r="V48" i="24"/>
  <c r="V18" i="24"/>
  <c r="V73" i="24"/>
  <c r="V76" i="24"/>
  <c r="V60" i="24"/>
  <c r="V47" i="24"/>
  <c r="V40" i="24"/>
  <c r="V10" i="24"/>
  <c r="V83" i="24"/>
  <c r="V6" i="24"/>
  <c r="V54" i="24"/>
  <c r="V43" i="24"/>
  <c r="V91" i="24"/>
  <c r="V20" i="24"/>
  <c r="V35" i="24"/>
  <c r="V19" i="24"/>
  <c r="V26" i="24"/>
  <c r="V95" i="24"/>
  <c r="V104" i="24"/>
  <c r="V46" i="24"/>
  <c r="V92" i="24"/>
  <c r="V90" i="24"/>
  <c r="V50" i="24"/>
  <c r="V7" i="24"/>
  <c r="V103" i="24"/>
  <c r="V64" i="24"/>
  <c r="V78" i="24"/>
  <c r="V9" i="24"/>
  <c r="V38" i="24"/>
  <c r="V27" i="24"/>
  <c r="V75" i="24"/>
  <c r="V100" i="24"/>
  <c r="V41" i="24"/>
  <c r="V15" i="24"/>
  <c r="V74" i="24"/>
  <c r="V31" i="24"/>
  <c r="V79" i="24"/>
  <c r="V8" i="24"/>
  <c r="V88" i="24"/>
  <c r="V45" i="24"/>
  <c r="V30" i="24"/>
  <c r="V13" i="24"/>
  <c r="V24" i="24"/>
  <c r="K93" i="23"/>
  <c r="M93" i="23" s="1"/>
  <c r="V23" i="24"/>
  <c r="V85" i="24"/>
  <c r="V82" i="24"/>
  <c r="V62" i="24"/>
  <c r="V86" i="24"/>
  <c r="V93" i="24"/>
  <c r="V34" i="24"/>
  <c r="V53" i="24"/>
  <c r="V39" i="24"/>
  <c r="V87" i="24"/>
  <c r="V16" i="24"/>
  <c r="V96" i="24"/>
  <c r="V57" i="24"/>
  <c r="V52" i="24"/>
  <c r="V84" i="24"/>
  <c r="V33" i="24"/>
  <c r="V12" i="24"/>
  <c r="V58" i="24"/>
  <c r="W5" i="24"/>
  <c r="V5" i="24"/>
  <c r="V63" i="24"/>
  <c r="V72" i="24"/>
  <c r="V81" i="24"/>
  <c r="L57" i="23"/>
  <c r="M57" i="23" s="1"/>
  <c r="V66" i="24"/>
  <c r="V105" i="24"/>
  <c r="V28" i="24"/>
  <c r="V94" i="24"/>
  <c r="V71" i="24"/>
  <c r="V29" i="24"/>
  <c r="V21" i="24"/>
  <c r="V61" i="24"/>
  <c r="V77" i="24"/>
  <c r="V37" i="24"/>
  <c r="V68" i="24"/>
  <c r="V99" i="24"/>
  <c r="V25" i="24"/>
  <c r="V42" i="24"/>
  <c r="V67" i="24"/>
  <c r="V49" i="24"/>
  <c r="L72" i="23"/>
  <c r="M72" i="23" s="1"/>
  <c r="K65" i="23"/>
  <c r="M65" i="23" s="1"/>
  <c r="L95" i="23"/>
  <c r="M95" i="23" s="1"/>
  <c r="M11" i="23"/>
  <c r="M99" i="23"/>
  <c r="M27" i="23"/>
  <c r="M19" i="23"/>
  <c r="M56" i="23"/>
  <c r="M8" i="23"/>
  <c r="M87" i="23"/>
  <c r="M55" i="23"/>
  <c r="M75" i="23"/>
  <c r="M12" i="23"/>
  <c r="M47" i="23"/>
  <c r="M43" i="23"/>
  <c r="M6" i="23"/>
  <c r="L97" i="23"/>
  <c r="M97" i="23" s="1"/>
  <c r="K83" i="23"/>
  <c r="M83" i="23" s="1"/>
  <c r="M98" i="23"/>
  <c r="M62" i="23"/>
  <c r="M46" i="23"/>
  <c r="M76" i="23"/>
  <c r="M78" i="23"/>
  <c r="M54" i="23"/>
  <c r="M81" i="23"/>
  <c r="M85" i="23"/>
  <c r="M50" i="23"/>
  <c r="M53" i="23"/>
  <c r="M101" i="23"/>
  <c r="M45" i="23"/>
  <c r="M34" i="23"/>
  <c r="M36" i="23"/>
  <c r="M28" i="23"/>
  <c r="M9" i="23"/>
  <c r="M33" i="23"/>
  <c r="M30" i="23"/>
  <c r="M90" i="23"/>
  <c r="M10" i="23"/>
  <c r="M94" i="23"/>
  <c r="M68" i="23"/>
  <c r="M70" i="23"/>
  <c r="M106" i="23"/>
  <c r="M41" i="23"/>
  <c r="M37" i="23"/>
  <c r="M44" i="23"/>
  <c r="M32" i="23"/>
  <c r="M23" i="23"/>
  <c r="M48" i="23"/>
  <c r="M64" i="23"/>
  <c r="M15" i="23"/>
  <c r="M40" i="23"/>
  <c r="M80" i="23"/>
  <c r="M31" i="23"/>
  <c r="M91" i="23"/>
  <c r="M7" i="23"/>
  <c r="M96" i="23"/>
  <c r="M51" i="23"/>
  <c r="M71" i="23"/>
  <c r="M39" i="23"/>
  <c r="M79" i="23"/>
  <c r="M104" i="23"/>
  <c r="M59" i="23"/>
  <c r="M16" i="23"/>
  <c r="M35" i="23"/>
  <c r="M18" i="23"/>
  <c r="M105" i="23"/>
  <c r="M86" i="23"/>
  <c r="M52" i="23"/>
  <c r="M89" i="23"/>
  <c r="M38" i="23"/>
  <c r="M25" i="23"/>
  <c r="M61" i="23"/>
  <c r="M82" i="23"/>
  <c r="M14" i="23"/>
  <c r="M29" i="23"/>
  <c r="M69" i="23"/>
  <c r="M17" i="23"/>
  <c r="M21" i="23"/>
  <c r="M22" i="23"/>
  <c r="M92" i="23"/>
  <c r="M73" i="23"/>
  <c r="M13" i="23"/>
  <c r="M102" i="23"/>
  <c r="M26" i="23"/>
  <c r="B189" i="2"/>
  <c r="A230" i="2"/>
  <c r="D43" i="16"/>
  <c r="B190" i="2"/>
  <c r="D44" i="16"/>
  <c r="W261" i="25" l="1"/>
  <c r="Z261" i="25" s="1"/>
  <c r="AA261" i="25" s="1"/>
  <c r="V129" i="25"/>
  <c r="W157" i="25"/>
  <c r="Z157" i="25" s="1"/>
  <c r="AA157" i="25" s="1"/>
  <c r="AB157" i="25" s="1"/>
  <c r="W205" i="25"/>
  <c r="Z205" i="25" s="1"/>
  <c r="AA205" i="25" s="1"/>
  <c r="AB205" i="25" s="1"/>
  <c r="W170" i="25"/>
  <c r="Z170" i="25" s="1"/>
  <c r="AA170" i="25" s="1"/>
  <c r="AB170" i="25" s="1"/>
  <c r="V157" i="25"/>
  <c r="W177" i="25"/>
  <c r="Z177" i="25" s="1"/>
  <c r="AA177" i="25" s="1"/>
  <c r="AB177" i="25" s="1"/>
  <c r="AI177" i="25" s="1"/>
  <c r="AD177" i="25"/>
  <c r="AE177" i="25" s="1"/>
  <c r="W129" i="25"/>
  <c r="Z129" i="25" s="1"/>
  <c r="AA129" i="25" s="1"/>
  <c r="AB129" i="25" s="1"/>
  <c r="AI129" i="25" s="1"/>
  <c r="AD153" i="25"/>
  <c r="AE153" i="25" s="1"/>
  <c r="W301" i="25"/>
  <c r="Z301" i="25" s="1"/>
  <c r="AA301" i="25" s="1"/>
  <c r="W290" i="25"/>
  <c r="Z290" i="25" s="1"/>
  <c r="AA290" i="25" s="1"/>
  <c r="AB290" i="25" s="1"/>
  <c r="W149" i="25"/>
  <c r="Z149" i="25" s="1"/>
  <c r="AA149" i="25" s="1"/>
  <c r="W259" i="25"/>
  <c r="Z259" i="25" s="1"/>
  <c r="AA259" i="25" s="1"/>
  <c r="AB259" i="25" s="1"/>
  <c r="AD149" i="25"/>
  <c r="AE149" i="25" s="1"/>
  <c r="AD290" i="25"/>
  <c r="AE290" i="25" s="1"/>
  <c r="AD238" i="25"/>
  <c r="AE238" i="25" s="1"/>
  <c r="W248" i="25"/>
  <c r="Z248" i="25" s="1"/>
  <c r="AA248" i="25" s="1"/>
  <c r="AD259" i="25"/>
  <c r="AE259" i="25" s="1"/>
  <c r="AD248" i="25"/>
  <c r="AE248" i="25" s="1"/>
  <c r="V152" i="25"/>
  <c r="AD152" i="25"/>
  <c r="AE152" i="25" s="1"/>
  <c r="W120" i="25"/>
  <c r="Z120" i="25" s="1"/>
  <c r="AA120" i="25" s="1"/>
  <c r="AB120" i="25" s="1"/>
  <c r="AI120" i="25" s="1"/>
  <c r="V120" i="25"/>
  <c r="X120" i="25" s="1"/>
  <c r="W186" i="25"/>
  <c r="Z186" i="25" s="1"/>
  <c r="AA186" i="25" s="1"/>
  <c r="AB186" i="25" s="1"/>
  <c r="AI186" i="25" s="1"/>
  <c r="V243" i="25"/>
  <c r="V167" i="25"/>
  <c r="W140" i="25"/>
  <c r="Z140" i="25" s="1"/>
  <c r="AA140" i="25" s="1"/>
  <c r="AB140" i="25" s="1"/>
  <c r="V253" i="25"/>
  <c r="X253" i="25" s="1"/>
  <c r="AD296" i="25"/>
  <c r="AE296" i="25" s="1"/>
  <c r="AD308" i="25"/>
  <c r="AE308" i="25" s="1"/>
  <c r="W282" i="25"/>
  <c r="Z282" i="25" s="1"/>
  <c r="AA282" i="25" s="1"/>
  <c r="AB282" i="25" s="1"/>
  <c r="AI282" i="25" s="1"/>
  <c r="AS282" i="25" s="1"/>
  <c r="V306" i="25"/>
  <c r="W159" i="25"/>
  <c r="Z159" i="25" s="1"/>
  <c r="AA159" i="25" s="1"/>
  <c r="V267" i="25"/>
  <c r="W249" i="25"/>
  <c r="Z249" i="25" s="1"/>
  <c r="AA249" i="25" s="1"/>
  <c r="AB249" i="25" s="1"/>
  <c r="AD271" i="25"/>
  <c r="AE271" i="25" s="1"/>
  <c r="V161" i="25"/>
  <c r="X161" i="25" s="1"/>
  <c r="V166" i="25"/>
  <c r="X166" i="25" s="1"/>
  <c r="AD164" i="25"/>
  <c r="AE164" i="25" s="1"/>
  <c r="W253" i="25"/>
  <c r="Z253" i="25" s="1"/>
  <c r="AA253" i="25" s="1"/>
  <c r="AB253" i="25" s="1"/>
  <c r="V164" i="25"/>
  <c r="X164" i="25" s="1"/>
  <c r="V303" i="25"/>
  <c r="W303" i="25"/>
  <c r="Z303" i="25" s="1"/>
  <c r="AA303" i="25" s="1"/>
  <c r="W202" i="25"/>
  <c r="Z202" i="25" s="1"/>
  <c r="AA202" i="25" s="1"/>
  <c r="AB202" i="25" s="1"/>
  <c r="AI202" i="25" s="1"/>
  <c r="W180" i="25"/>
  <c r="Z180" i="25" s="1"/>
  <c r="AA180" i="25" s="1"/>
  <c r="AB180" i="25" s="1"/>
  <c r="AI180" i="25" s="1"/>
  <c r="V135" i="25"/>
  <c r="V142" i="25"/>
  <c r="X142" i="25" s="1"/>
  <c r="W228" i="25"/>
  <c r="Z228" i="25" s="1"/>
  <c r="AA228" i="25" s="1"/>
  <c r="AB228" i="25" s="1"/>
  <c r="AI228" i="25" s="1"/>
  <c r="AS228" i="25" s="1"/>
  <c r="AD274" i="25"/>
  <c r="AE274" i="25" s="1"/>
  <c r="AD182" i="25"/>
  <c r="AE182" i="25" s="1"/>
  <c r="AD278" i="25"/>
  <c r="AE278" i="25" s="1"/>
  <c r="W206" i="25"/>
  <c r="Z206" i="25" s="1"/>
  <c r="AA206" i="25" s="1"/>
  <c r="AB206" i="25" s="1"/>
  <c r="AI206" i="25" s="1"/>
  <c r="V228" i="25"/>
  <c r="W247" i="25"/>
  <c r="Z247" i="25" s="1"/>
  <c r="AA247" i="25" s="1"/>
  <c r="V175" i="25"/>
  <c r="X175" i="25" s="1"/>
  <c r="AD196" i="25"/>
  <c r="AE196" i="25" s="1"/>
  <c r="AD206" i="25"/>
  <c r="AE206" i="25" s="1"/>
  <c r="W142" i="25"/>
  <c r="Z142" i="25" s="1"/>
  <c r="AA142" i="25" s="1"/>
  <c r="AB142" i="25" s="1"/>
  <c r="W196" i="25"/>
  <c r="Z196" i="25" s="1"/>
  <c r="AA196" i="25" s="1"/>
  <c r="AB196" i="25" s="1"/>
  <c r="V244" i="25"/>
  <c r="X244" i="25" s="1"/>
  <c r="W244" i="25"/>
  <c r="Z244" i="25" s="1"/>
  <c r="AA244" i="25" s="1"/>
  <c r="W175" i="25"/>
  <c r="Z175" i="25" s="1"/>
  <c r="AA175" i="25" s="1"/>
  <c r="AB175" i="25" s="1"/>
  <c r="AI175" i="25" s="1"/>
  <c r="V174" i="25"/>
  <c r="X174" i="25" s="1"/>
  <c r="V281" i="25"/>
  <c r="V179" i="25"/>
  <c r="W161" i="25"/>
  <c r="Z161" i="25" s="1"/>
  <c r="AA161" i="25" s="1"/>
  <c r="AD202" i="25"/>
  <c r="AE202" i="25" s="1"/>
  <c r="W166" i="25"/>
  <c r="Z166" i="25" s="1"/>
  <c r="AA166" i="25" s="1"/>
  <c r="AB166" i="25" s="1"/>
  <c r="AI166" i="25" s="1"/>
  <c r="V122" i="25"/>
  <c r="X122" i="25" s="1"/>
  <c r="V118" i="25"/>
  <c r="X118" i="25" s="1"/>
  <c r="AD122" i="25"/>
  <c r="AE122" i="25" s="1"/>
  <c r="W179" i="25"/>
  <c r="Z179" i="25" s="1"/>
  <c r="AA179" i="25" s="1"/>
  <c r="AB179" i="25" s="1"/>
  <c r="AI179" i="25" s="1"/>
  <c r="W118" i="25"/>
  <c r="Z118" i="25" s="1"/>
  <c r="AA118" i="25" s="1"/>
  <c r="AB118" i="25" s="1"/>
  <c r="AI118" i="25" s="1"/>
  <c r="V186" i="25"/>
  <c r="AD140" i="25"/>
  <c r="AE140" i="25" s="1"/>
  <c r="W143" i="25"/>
  <c r="Z143" i="25" s="1"/>
  <c r="AA143" i="25" s="1"/>
  <c r="AB143" i="25" s="1"/>
  <c r="AI143" i="25" s="1"/>
  <c r="W167" i="25"/>
  <c r="Z167" i="25" s="1"/>
  <c r="AA167" i="25" s="1"/>
  <c r="AB167" i="25" s="1"/>
  <c r="AI167" i="25" s="1"/>
  <c r="V187" i="25"/>
  <c r="X187" i="25" s="1"/>
  <c r="W145" i="25"/>
  <c r="Z145" i="25" s="1"/>
  <c r="AA145" i="25" s="1"/>
  <c r="AB145" i="25" s="1"/>
  <c r="AI145" i="25" s="1"/>
  <c r="V145" i="25"/>
  <c r="X145" i="25" s="1"/>
  <c r="W131" i="25"/>
  <c r="Z131" i="25" s="1"/>
  <c r="AA131" i="25" s="1"/>
  <c r="AB131" i="25" s="1"/>
  <c r="AI131" i="25" s="1"/>
  <c r="W171" i="25"/>
  <c r="Z171" i="25" s="1"/>
  <c r="AA171" i="25" s="1"/>
  <c r="AB171" i="25" s="1"/>
  <c r="AD117" i="25"/>
  <c r="AE117" i="25" s="1"/>
  <c r="V204" i="25"/>
  <c r="X204" i="25" s="1"/>
  <c r="V117" i="25"/>
  <c r="X117" i="25" s="1"/>
  <c r="AD131" i="25"/>
  <c r="AE131" i="25" s="1"/>
  <c r="V171" i="25"/>
  <c r="X171" i="25" s="1"/>
  <c r="W204" i="25"/>
  <c r="Z204" i="25" s="1"/>
  <c r="AA204" i="25" s="1"/>
  <c r="AB204" i="25" s="1"/>
  <c r="AI204" i="25" s="1"/>
  <c r="V165" i="25"/>
  <c r="X165" i="25" s="1"/>
  <c r="AD165" i="25"/>
  <c r="AE165" i="25" s="1"/>
  <c r="V260" i="25"/>
  <c r="W260" i="25"/>
  <c r="Z260" i="25" s="1"/>
  <c r="AA260" i="25" s="1"/>
  <c r="V168" i="25"/>
  <c r="W304" i="25"/>
  <c r="Z304" i="25" s="1"/>
  <c r="AA304" i="25" s="1"/>
  <c r="V304" i="25"/>
  <c r="X304" i="25" s="1"/>
  <c r="V153" i="25"/>
  <c r="X153" i="25" s="1"/>
  <c r="W306" i="25"/>
  <c r="Z306" i="25" s="1"/>
  <c r="AA306" i="25" s="1"/>
  <c r="V141" i="25"/>
  <c r="AD176" i="25"/>
  <c r="AE176" i="25" s="1"/>
  <c r="AD209" i="25"/>
  <c r="AE209" i="25" s="1"/>
  <c r="AD141" i="25"/>
  <c r="AE141" i="25" s="1"/>
  <c r="V151" i="25"/>
  <c r="X151" i="25" s="1"/>
  <c r="W151" i="25"/>
  <c r="Z151" i="25" s="1"/>
  <c r="AA151" i="25" s="1"/>
  <c r="AB151" i="25" s="1"/>
  <c r="AI151" i="25" s="1"/>
  <c r="W146" i="25"/>
  <c r="Z146" i="25" s="1"/>
  <c r="AA146" i="25" s="1"/>
  <c r="AB146" i="25" s="1"/>
  <c r="AI146" i="25" s="1"/>
  <c r="V146" i="25"/>
  <c r="X146" i="25" s="1"/>
  <c r="AD261" i="25"/>
  <c r="AE261" i="25" s="1"/>
  <c r="W256" i="25"/>
  <c r="Z256" i="25" s="1"/>
  <c r="AA256" i="25" s="1"/>
  <c r="AB256" i="25" s="1"/>
  <c r="AD256" i="25"/>
  <c r="AE256" i="25" s="1"/>
  <c r="W229" i="25"/>
  <c r="Z229" i="25" s="1"/>
  <c r="AA229" i="25" s="1"/>
  <c r="AB229" i="25" s="1"/>
  <c r="AI229" i="25" s="1"/>
  <c r="AS229" i="25" s="1"/>
  <c r="AD229" i="25"/>
  <c r="AE229" i="25" s="1"/>
  <c r="V197" i="25"/>
  <c r="X197" i="25" s="1"/>
  <c r="AD137" i="25"/>
  <c r="AE137" i="25" s="1"/>
  <c r="W197" i="25"/>
  <c r="Z197" i="25" s="1"/>
  <c r="AA197" i="25" s="1"/>
  <c r="AB197" i="25" s="1"/>
  <c r="AI197" i="25" s="1"/>
  <c r="W193" i="25"/>
  <c r="Z193" i="25" s="1"/>
  <c r="AA193" i="25" s="1"/>
  <c r="AD193" i="25"/>
  <c r="AE193" i="25" s="1"/>
  <c r="V137" i="25"/>
  <c r="X137" i="25" s="1"/>
  <c r="V181" i="25"/>
  <c r="X181" i="25" s="1"/>
  <c r="W194" i="25"/>
  <c r="Z194" i="25" s="1"/>
  <c r="AA194" i="25" s="1"/>
  <c r="AB194" i="25" s="1"/>
  <c r="AI194" i="25" s="1"/>
  <c r="W181" i="25"/>
  <c r="Z181" i="25" s="1"/>
  <c r="AA181" i="25" s="1"/>
  <c r="AB181" i="25" s="1"/>
  <c r="AI181" i="25" s="1"/>
  <c r="W183" i="25"/>
  <c r="Z183" i="25" s="1"/>
  <c r="AA183" i="25" s="1"/>
  <c r="AB183" i="25" s="1"/>
  <c r="AI183" i="25" s="1"/>
  <c r="V194" i="25"/>
  <c r="X194" i="25" s="1"/>
  <c r="W130" i="25"/>
  <c r="Z130" i="25" s="1"/>
  <c r="AA130" i="25" s="1"/>
  <c r="W195" i="25"/>
  <c r="Z195" i="25" s="1"/>
  <c r="AA195" i="25" s="1"/>
  <c r="AB195" i="25" s="1"/>
  <c r="AI195" i="25" s="1"/>
  <c r="V130" i="25"/>
  <c r="X130" i="25" s="1"/>
  <c r="AD183" i="25"/>
  <c r="AE183" i="25" s="1"/>
  <c r="V195" i="25"/>
  <c r="X195" i="25" s="1"/>
  <c r="W113" i="25"/>
  <c r="Z113" i="25" s="1"/>
  <c r="AA113" i="25" s="1"/>
  <c r="AB113" i="25" s="1"/>
  <c r="AI113" i="25" s="1"/>
  <c r="AD143" i="25"/>
  <c r="AE143" i="25" s="1"/>
  <c r="AD113" i="25"/>
  <c r="AE113" i="25" s="1"/>
  <c r="W185" i="25"/>
  <c r="Z185" i="25" s="1"/>
  <c r="AA185" i="25" s="1"/>
  <c r="AB185" i="25" s="1"/>
  <c r="W187" i="25"/>
  <c r="Z187" i="25" s="1"/>
  <c r="AA187" i="25" s="1"/>
  <c r="AB187" i="25" s="1"/>
  <c r="AI187" i="25" s="1"/>
  <c r="AD185" i="25"/>
  <c r="AE185" i="25" s="1"/>
  <c r="AD266" i="25"/>
  <c r="AE266" i="25" s="1"/>
  <c r="W254" i="25"/>
  <c r="Z254" i="25" s="1"/>
  <c r="AA254" i="25" s="1"/>
  <c r="AB254" i="25" s="1"/>
  <c r="AI254" i="25" s="1"/>
  <c r="AS254" i="25" s="1"/>
  <c r="V254" i="25"/>
  <c r="X254" i="25" s="1"/>
  <c r="W126" i="25"/>
  <c r="Z126" i="25" s="1"/>
  <c r="AA126" i="25" s="1"/>
  <c r="AB126" i="25" s="1"/>
  <c r="AI126" i="25" s="1"/>
  <c r="W209" i="25"/>
  <c r="Z209" i="25" s="1"/>
  <c r="AA209" i="25" s="1"/>
  <c r="AB209" i="25" s="1"/>
  <c r="AI209" i="25" s="1"/>
  <c r="V176" i="25"/>
  <c r="V257" i="25"/>
  <c r="X257" i="25" s="1"/>
  <c r="W200" i="25"/>
  <c r="Z200" i="25" s="1"/>
  <c r="AA200" i="25" s="1"/>
  <c r="AB200" i="25" s="1"/>
  <c r="AI200" i="25" s="1"/>
  <c r="W257" i="25"/>
  <c r="Z257" i="25" s="1"/>
  <c r="AA257" i="25" s="1"/>
  <c r="AB257" i="25" s="1"/>
  <c r="AI257" i="25" s="1"/>
  <c r="AS257" i="25" s="1"/>
  <c r="W147" i="25"/>
  <c r="Z147" i="25" s="1"/>
  <c r="AA147" i="25" s="1"/>
  <c r="AB147" i="25" s="1"/>
  <c r="AI147" i="25" s="1"/>
  <c r="W298" i="25"/>
  <c r="Z298" i="25" s="1"/>
  <c r="AA298" i="25" s="1"/>
  <c r="AB298" i="25" s="1"/>
  <c r="AI298" i="25" s="1"/>
  <c r="AS298" i="25" s="1"/>
  <c r="AD298" i="25"/>
  <c r="AE298" i="25" s="1"/>
  <c r="AD200" i="25"/>
  <c r="AE200" i="25" s="1"/>
  <c r="V158" i="25"/>
  <c r="W158" i="25"/>
  <c r="Z158" i="25" s="1"/>
  <c r="AA158" i="25" s="1"/>
  <c r="AB158" i="25" s="1"/>
  <c r="AI158" i="25" s="1"/>
  <c r="AD127" i="25"/>
  <c r="AE127" i="25" s="1"/>
  <c r="V192" i="25"/>
  <c r="X192" i="25" s="1"/>
  <c r="V124" i="25"/>
  <c r="X124" i="25" s="1"/>
  <c r="V127" i="25"/>
  <c r="X127" i="25" s="1"/>
  <c r="V312" i="25"/>
  <c r="X312" i="25" s="1"/>
  <c r="W124" i="25"/>
  <c r="Z124" i="25" s="1"/>
  <c r="AA124" i="25" s="1"/>
  <c r="AB124" i="25" s="1"/>
  <c r="AI124" i="25" s="1"/>
  <c r="AD192" i="25"/>
  <c r="AE192" i="25" s="1"/>
  <c r="AD312" i="25"/>
  <c r="AE312" i="25" s="1"/>
  <c r="W297" i="25"/>
  <c r="Z297" i="25" s="1"/>
  <c r="AA297" i="25" s="1"/>
  <c r="AB297" i="25" s="1"/>
  <c r="AI297" i="25" s="1"/>
  <c r="AS297" i="25" s="1"/>
  <c r="V297" i="25"/>
  <c r="X297" i="25" s="1"/>
  <c r="W230" i="25"/>
  <c r="Z230" i="25" s="1"/>
  <c r="AA230" i="25" s="1"/>
  <c r="AB230" i="25" s="1"/>
  <c r="AI230" i="25" s="1"/>
  <c r="AS230" i="25" s="1"/>
  <c r="V208" i="25"/>
  <c r="X208" i="25" s="1"/>
  <c r="AD126" i="25"/>
  <c r="AE126" i="25" s="1"/>
  <c r="AD230" i="25"/>
  <c r="AE230" i="25" s="1"/>
  <c r="V198" i="25"/>
  <c r="W208" i="25"/>
  <c r="Z208" i="25" s="1"/>
  <c r="AA208" i="25" s="1"/>
  <c r="AB208" i="25" s="1"/>
  <c r="AI208" i="25" s="1"/>
  <c r="V266" i="25"/>
  <c r="X266" i="25" s="1"/>
  <c r="V114" i="25"/>
  <c r="X114" i="25" s="1"/>
  <c r="AD313" i="25"/>
  <c r="AE313" i="25" s="1"/>
  <c r="W198" i="25"/>
  <c r="Z198" i="25" s="1"/>
  <c r="AA198" i="25" s="1"/>
  <c r="AB198" i="25" s="1"/>
  <c r="AI198" i="25" s="1"/>
  <c r="AD148" i="25"/>
  <c r="AE148" i="25" s="1"/>
  <c r="W114" i="25"/>
  <c r="Z114" i="25" s="1"/>
  <c r="AA114" i="25" s="1"/>
  <c r="AB114" i="25" s="1"/>
  <c r="AI114" i="25" s="1"/>
  <c r="W313" i="25"/>
  <c r="Z313" i="25" s="1"/>
  <c r="AA313" i="25" s="1"/>
  <c r="W148" i="25"/>
  <c r="Z148" i="25" s="1"/>
  <c r="AA148" i="25" s="1"/>
  <c r="AB148" i="25" s="1"/>
  <c r="AI148" i="25" s="1"/>
  <c r="V132" i="25"/>
  <c r="X132" i="25" s="1"/>
  <c r="AD132" i="25"/>
  <c r="AE132" i="25" s="1"/>
  <c r="W311" i="25"/>
  <c r="Z311" i="25" s="1"/>
  <c r="AA311" i="25" s="1"/>
  <c r="AB311" i="25" s="1"/>
  <c r="AI311" i="25" s="1"/>
  <c r="AS311" i="25" s="1"/>
  <c r="W237" i="25"/>
  <c r="Z237" i="25" s="1"/>
  <c r="AA237" i="25" s="1"/>
  <c r="AB237" i="25" s="1"/>
  <c r="AI237" i="25" s="1"/>
  <c r="AS237" i="25" s="1"/>
  <c r="AD237" i="25"/>
  <c r="AE237" i="25" s="1"/>
  <c r="W150" i="25"/>
  <c r="Z150" i="25" s="1"/>
  <c r="AA150" i="25" s="1"/>
  <c r="AB150" i="25" s="1"/>
  <c r="AI150" i="25" s="1"/>
  <c r="W221" i="25"/>
  <c r="Z221" i="25" s="1"/>
  <c r="AA221" i="25" s="1"/>
  <c r="AB221" i="25" s="1"/>
  <c r="AI221" i="25" s="1"/>
  <c r="AS221" i="25" s="1"/>
  <c r="V221" i="25"/>
  <c r="X221" i="25" s="1"/>
  <c r="V264" i="25"/>
  <c r="X264" i="25" s="1"/>
  <c r="V144" i="25"/>
  <c r="X144" i="25" s="1"/>
  <c r="W242" i="25"/>
  <c r="Z242" i="25" s="1"/>
  <c r="AA242" i="25" s="1"/>
  <c r="AB242" i="25" s="1"/>
  <c r="AI242" i="25" s="1"/>
  <c r="AS242" i="25" s="1"/>
  <c r="W264" i="25"/>
  <c r="Z264" i="25" s="1"/>
  <c r="AA264" i="25" s="1"/>
  <c r="AB264" i="25" s="1"/>
  <c r="AI264" i="25" s="1"/>
  <c r="AS264" i="25" s="1"/>
  <c r="AD168" i="25"/>
  <c r="AE168" i="25" s="1"/>
  <c r="V292" i="25"/>
  <c r="X292" i="25" s="1"/>
  <c r="V242" i="25"/>
  <c r="V154" i="25"/>
  <c r="X154" i="25" s="1"/>
  <c r="W125" i="25"/>
  <c r="Z125" i="25" s="1"/>
  <c r="AA125" i="25" s="1"/>
  <c r="AB125" i="25" s="1"/>
  <c r="AI125" i="25" s="1"/>
  <c r="W292" i="25"/>
  <c r="Z292" i="25" s="1"/>
  <c r="AA292" i="25" s="1"/>
  <c r="AB292" i="25" s="1"/>
  <c r="AI292" i="25" s="1"/>
  <c r="AS292" i="25" s="1"/>
  <c r="AD144" i="25"/>
  <c r="AE144" i="25" s="1"/>
  <c r="W154" i="25"/>
  <c r="Z154" i="25" s="1"/>
  <c r="AA154" i="25" s="1"/>
  <c r="AB154" i="25" s="1"/>
  <c r="AI154" i="25" s="1"/>
  <c r="V162" i="25"/>
  <c r="X162" i="25" s="1"/>
  <c r="W255" i="25"/>
  <c r="Z255" i="25" s="1"/>
  <c r="AA255" i="25" s="1"/>
  <c r="AB255" i="25" s="1"/>
  <c r="AI255" i="25" s="1"/>
  <c r="AS255" i="25" s="1"/>
  <c r="V255" i="25"/>
  <c r="X255" i="25" s="1"/>
  <c r="W162" i="25"/>
  <c r="Z162" i="25" s="1"/>
  <c r="AA162" i="25" s="1"/>
  <c r="AB162" i="25" s="1"/>
  <c r="AI162" i="25" s="1"/>
  <c r="V150" i="25"/>
  <c r="X150" i="25" s="1"/>
  <c r="W272" i="25"/>
  <c r="Z272" i="25" s="1"/>
  <c r="AA272" i="25" s="1"/>
  <c r="AB272" i="25" s="1"/>
  <c r="AI272" i="25" s="1"/>
  <c r="AS272" i="25" s="1"/>
  <c r="V147" i="25"/>
  <c r="X147" i="25" s="1"/>
  <c r="V311" i="25"/>
  <c r="X311" i="25" s="1"/>
  <c r="V272" i="25"/>
  <c r="X272" i="25" s="1"/>
  <c r="AD125" i="25"/>
  <c r="AE125" i="25" s="1"/>
  <c r="AD172" i="25"/>
  <c r="AE172" i="25" s="1"/>
  <c r="W139" i="25"/>
  <c r="Z139" i="25" s="1"/>
  <c r="AA139" i="25" s="1"/>
  <c r="AB139" i="25" s="1"/>
  <c r="AI139" i="25" s="1"/>
  <c r="AD139" i="25"/>
  <c r="AE139" i="25" s="1"/>
  <c r="W172" i="25"/>
  <c r="Z172" i="25" s="1"/>
  <c r="AA172" i="25" s="1"/>
  <c r="AB172" i="25" s="1"/>
  <c r="AI172" i="25" s="1"/>
  <c r="W207" i="25"/>
  <c r="Z207" i="25" s="1"/>
  <c r="AA207" i="25" s="1"/>
  <c r="AB207" i="25" s="1"/>
  <c r="AI207" i="25" s="1"/>
  <c r="AD207" i="25"/>
  <c r="AE207" i="25" s="1"/>
  <c r="W210" i="25"/>
  <c r="Z210" i="25" s="1"/>
  <c r="AA210" i="25" s="1"/>
  <c r="AB210" i="25" s="1"/>
  <c r="AI210" i="25" s="1"/>
  <c r="V128" i="25"/>
  <c r="AD128" i="25"/>
  <c r="AE128" i="25" s="1"/>
  <c r="AD210" i="25"/>
  <c r="AE210" i="25" s="1"/>
  <c r="AD201" i="25"/>
  <c r="AE201" i="25" s="1"/>
  <c r="W133" i="25"/>
  <c r="Z133" i="25" s="1"/>
  <c r="AA133" i="25" s="1"/>
  <c r="AB133" i="25" s="1"/>
  <c r="AI133" i="25" s="1"/>
  <c r="V156" i="25"/>
  <c r="X156" i="25" s="1"/>
  <c r="W201" i="25"/>
  <c r="Z201" i="25" s="1"/>
  <c r="AA201" i="25" s="1"/>
  <c r="AB201" i="25" s="1"/>
  <c r="AI201" i="25" s="1"/>
  <c r="AD156" i="25"/>
  <c r="AE156" i="25" s="1"/>
  <c r="AD133" i="25"/>
  <c r="AE133" i="25" s="1"/>
  <c r="W123" i="25"/>
  <c r="Z123" i="25" s="1"/>
  <c r="AA123" i="25" s="1"/>
  <c r="AB123" i="25" s="1"/>
  <c r="AI123" i="25" s="1"/>
  <c r="AD123" i="25"/>
  <c r="AE123" i="25" s="1"/>
  <c r="V184" i="25"/>
  <c r="X184" i="25" s="1"/>
  <c r="AD184" i="25"/>
  <c r="AE184" i="25" s="1"/>
  <c r="V134" i="25"/>
  <c r="X134" i="25" s="1"/>
  <c r="W134" i="25"/>
  <c r="Z134" i="25" s="1"/>
  <c r="AA134" i="25" s="1"/>
  <c r="AB134" i="25" s="1"/>
  <c r="AI134" i="25" s="1"/>
  <c r="L15" i="1"/>
  <c r="Y210" i="24"/>
  <c r="AM212" i="24"/>
  <c r="H212" i="24"/>
  <c r="U212" i="24"/>
  <c r="S212" i="24"/>
  <c r="T212" i="24" s="1"/>
  <c r="Q212" i="24"/>
  <c r="CF5" i="25"/>
  <c r="CF6" i="25"/>
  <c r="CF7" i="25"/>
  <c r="CF58" i="25"/>
  <c r="CF19" i="25"/>
  <c r="CF43" i="25"/>
  <c r="CF14" i="25"/>
  <c r="CF57" i="25"/>
  <c r="CF36" i="25"/>
  <c r="CF55" i="25"/>
  <c r="CF12" i="25"/>
  <c r="CF28" i="25"/>
  <c r="CF10" i="25"/>
  <c r="CF79" i="25"/>
  <c r="CF33" i="25"/>
  <c r="CF16" i="25"/>
  <c r="CF9" i="25"/>
  <c r="CF24" i="25"/>
  <c r="CF11" i="25"/>
  <c r="CF15" i="25"/>
  <c r="CF22" i="25"/>
  <c r="CF26" i="25"/>
  <c r="CF50" i="25"/>
  <c r="CF27" i="25"/>
  <c r="CF30" i="25"/>
  <c r="CF95" i="25"/>
  <c r="CF8" i="25"/>
  <c r="CF23" i="25"/>
  <c r="CF34" i="25"/>
  <c r="CF13" i="25"/>
  <c r="CF17" i="25"/>
  <c r="CF37" i="25"/>
  <c r="CF88" i="25"/>
  <c r="CE110" i="24"/>
  <c r="CE217" i="24"/>
  <c r="CE243" i="24"/>
  <c r="CE282" i="24"/>
  <c r="CE255" i="24"/>
  <c r="CE137" i="24"/>
  <c r="CE227" i="24"/>
  <c r="CE278" i="24"/>
  <c r="CE239" i="24"/>
  <c r="CE218" i="24"/>
  <c r="CE292" i="24"/>
  <c r="CE131" i="24"/>
  <c r="CE306" i="24"/>
  <c r="CE242" i="24"/>
  <c r="CE279" i="24"/>
  <c r="CE317" i="24"/>
  <c r="CE253" i="24"/>
  <c r="CE272" i="24"/>
  <c r="CE295" i="24"/>
  <c r="CE158" i="24"/>
  <c r="CE266" i="24"/>
  <c r="CE277" i="24"/>
  <c r="CE299" i="24"/>
  <c r="CE115" i="24"/>
  <c r="CE294" i="24"/>
  <c r="CE289" i="24"/>
  <c r="CE159" i="24"/>
  <c r="CE311" i="24"/>
  <c r="CE286" i="24"/>
  <c r="CE222" i="24"/>
  <c r="CE297" i="24"/>
  <c r="CE233" i="24"/>
  <c r="CE316" i="24"/>
  <c r="CE252" i="24"/>
  <c r="CE261" i="24"/>
  <c r="CE259" i="24"/>
  <c r="CE280" i="24"/>
  <c r="CE274" i="24"/>
  <c r="CE275" i="24"/>
  <c r="CE304" i="24"/>
  <c r="CE240" i="24"/>
  <c r="CE307" i="24"/>
  <c r="CE128" i="24"/>
  <c r="CE264" i="24"/>
  <c r="CE117" i="24"/>
  <c r="CE230" i="24"/>
  <c r="CE225" i="24"/>
  <c r="CE276" i="24"/>
  <c r="CE265" i="24"/>
  <c r="CE113" i="24"/>
  <c r="CE250" i="24"/>
  <c r="CE293" i="24"/>
  <c r="CE312" i="24"/>
  <c r="CE246" i="24"/>
  <c r="CE305" i="24"/>
  <c r="CE247" i="24"/>
  <c r="CE181" i="24"/>
  <c r="CE260" i="24"/>
  <c r="CE263" i="24"/>
  <c r="CE290" i="24"/>
  <c r="CE226" i="24"/>
  <c r="CE231" i="24"/>
  <c r="CE301" i="24"/>
  <c r="CE237" i="24"/>
  <c r="CE315" i="24"/>
  <c r="CE256" i="24"/>
  <c r="CE234" i="24"/>
  <c r="CE245" i="24"/>
  <c r="CE296" i="24"/>
  <c r="CE283" i="24"/>
  <c r="CE262" i="24"/>
  <c r="CE257" i="24"/>
  <c r="CE287" i="24"/>
  <c r="CE308" i="24"/>
  <c r="CE129" i="24"/>
  <c r="CE251" i="24"/>
  <c r="CE178" i="24"/>
  <c r="CE270" i="24"/>
  <c r="CE116" i="24"/>
  <c r="CE281" i="24"/>
  <c r="CE303" i="24"/>
  <c r="CE206" i="24"/>
  <c r="CE300" i="24"/>
  <c r="CE236" i="24"/>
  <c r="CE273" i="24"/>
  <c r="CE228" i="24"/>
  <c r="CE285" i="24"/>
  <c r="CE221" i="24"/>
  <c r="CE219" i="24"/>
  <c r="CE254" i="24"/>
  <c r="CE112" i="24"/>
  <c r="CE111" i="24"/>
  <c r="CE291" i="24"/>
  <c r="CE244" i="24"/>
  <c r="CE302" i="24"/>
  <c r="CE313" i="24"/>
  <c r="CE271" i="24"/>
  <c r="CE310" i="24"/>
  <c r="CE235" i="24"/>
  <c r="CE309" i="24"/>
  <c r="CE118" i="24"/>
  <c r="CE238" i="24"/>
  <c r="CE249" i="24"/>
  <c r="CE223" i="24"/>
  <c r="CE284" i="24"/>
  <c r="CE314" i="24"/>
  <c r="CE248" i="24"/>
  <c r="CE241" i="24"/>
  <c r="CE134" i="24"/>
  <c r="CE114" i="24"/>
  <c r="CE288" i="24"/>
  <c r="CE125" i="24"/>
  <c r="CE298" i="24"/>
  <c r="CE232" i="24"/>
  <c r="CE124" i="24"/>
  <c r="CE268" i="24"/>
  <c r="CE229" i="24"/>
  <c r="CE166" i="24"/>
  <c r="CE258" i="24"/>
  <c r="CE123" i="24"/>
  <c r="CE269" i="24"/>
  <c r="CE224" i="24"/>
  <c r="CE267" i="24"/>
  <c r="CE220" i="24"/>
  <c r="AT173" i="24"/>
  <c r="AT135" i="24"/>
  <c r="AT138" i="24"/>
  <c r="AT118" i="24"/>
  <c r="AT202" i="24"/>
  <c r="AT164" i="24"/>
  <c r="AT129" i="24"/>
  <c r="AT140" i="24"/>
  <c r="AT178" i="24"/>
  <c r="AT175" i="24"/>
  <c r="AT180" i="24"/>
  <c r="AT126" i="24"/>
  <c r="AT124" i="24"/>
  <c r="AT200" i="24"/>
  <c r="AT160" i="24"/>
  <c r="AI254" i="24"/>
  <c r="AJ254" i="24" s="1"/>
  <c r="AT254" i="24" s="1"/>
  <c r="W254" i="24"/>
  <c r="Y254" i="24" s="1"/>
  <c r="AE254" i="24"/>
  <c r="X278" i="24"/>
  <c r="AA278" i="24" s="1"/>
  <c r="AB278" i="24" s="1"/>
  <c r="AC278" i="24" s="1"/>
  <c r="AE306" i="24"/>
  <c r="AE130" i="24"/>
  <c r="AF130" i="24" s="1"/>
  <c r="W306" i="24"/>
  <c r="Y306" i="24" s="1"/>
  <c r="AI306" i="24"/>
  <c r="AJ306" i="24" s="1"/>
  <c r="AT306" i="24" s="1"/>
  <c r="X190" i="24"/>
  <c r="AA190" i="24" s="1"/>
  <c r="AB190" i="24" s="1"/>
  <c r="AC190" i="24" s="1"/>
  <c r="AJ190" i="24" s="1"/>
  <c r="AE190" i="24"/>
  <c r="AF190" i="24" s="1"/>
  <c r="W190" i="24"/>
  <c r="Y190" i="24" s="1"/>
  <c r="AI278" i="24"/>
  <c r="W278" i="24"/>
  <c r="Y278" i="24" s="1"/>
  <c r="X281" i="24"/>
  <c r="AA281" i="24" s="1"/>
  <c r="AB281" i="24" s="1"/>
  <c r="AC281" i="24" s="1"/>
  <c r="X261" i="24"/>
  <c r="AA261" i="24" s="1"/>
  <c r="AB261" i="24" s="1"/>
  <c r="AC261" i="24" s="1"/>
  <c r="AE227" i="24"/>
  <c r="AF227" i="24" s="1"/>
  <c r="X249" i="24"/>
  <c r="AA249" i="24" s="1"/>
  <c r="AB249" i="24" s="1"/>
  <c r="AC249" i="24" s="1"/>
  <c r="AE193" i="24"/>
  <c r="AF193" i="24" s="1"/>
  <c r="X245" i="24"/>
  <c r="AA245" i="24" s="1"/>
  <c r="AB245" i="24" s="1"/>
  <c r="AC245" i="24" s="1"/>
  <c r="X300" i="24"/>
  <c r="AA300" i="24" s="1"/>
  <c r="AB300" i="24" s="1"/>
  <c r="AC300" i="24" s="1"/>
  <c r="AJ300" i="24" s="1"/>
  <c r="AT300" i="24" s="1"/>
  <c r="AI249" i="24"/>
  <c r="W249" i="24"/>
  <c r="Y249" i="24" s="1"/>
  <c r="AE245" i="24"/>
  <c r="AF245" i="24" s="1"/>
  <c r="AI245" i="24"/>
  <c r="X193" i="24"/>
  <c r="AA193" i="24" s="1"/>
  <c r="AB193" i="24" s="1"/>
  <c r="AC193" i="24" s="1"/>
  <c r="AJ193" i="24" s="1"/>
  <c r="AI282" i="24"/>
  <c r="AJ282" i="24" s="1"/>
  <c r="AT282" i="24" s="1"/>
  <c r="AI263" i="24"/>
  <c r="AI218" i="24"/>
  <c r="AJ218" i="24" s="1"/>
  <c r="AT218" i="24" s="1"/>
  <c r="X284" i="24"/>
  <c r="AA284" i="24" s="1"/>
  <c r="AB284" i="24" s="1"/>
  <c r="AC284" i="24" s="1"/>
  <c r="W281" i="24"/>
  <c r="Y281" i="24" s="1"/>
  <c r="AE171" i="24"/>
  <c r="AF171" i="24" s="1"/>
  <c r="AE282" i="24"/>
  <c r="W284" i="24"/>
  <c r="Y284" i="24" s="1"/>
  <c r="AE218" i="24"/>
  <c r="AF218" i="24" s="1"/>
  <c r="X132" i="24"/>
  <c r="AA132" i="24" s="1"/>
  <c r="AB132" i="24" s="1"/>
  <c r="AC132" i="24" s="1"/>
  <c r="AJ132" i="24" s="1"/>
  <c r="AI279" i="24"/>
  <c r="AJ279" i="24" s="1"/>
  <c r="AT279" i="24" s="1"/>
  <c r="AI258" i="24"/>
  <c r="AE291" i="24"/>
  <c r="AF291" i="24" s="1"/>
  <c r="X290" i="24"/>
  <c r="AA290" i="24" s="1"/>
  <c r="AB290" i="24" s="1"/>
  <c r="AC290" i="24" s="1"/>
  <c r="W283" i="24"/>
  <c r="Y283" i="24" s="1"/>
  <c r="AE132" i="24"/>
  <c r="AF132" i="24" s="1"/>
  <c r="W156" i="24"/>
  <c r="Y156" i="24" s="1"/>
  <c r="W227" i="24"/>
  <c r="Y227" i="24" s="1"/>
  <c r="W218" i="24"/>
  <c r="Y218" i="24" s="1"/>
  <c r="W263" i="24"/>
  <c r="Y263" i="24" s="1"/>
  <c r="X227" i="24"/>
  <c r="AA227" i="24" s="1"/>
  <c r="AB227" i="24" s="1"/>
  <c r="AC227" i="24" s="1"/>
  <c r="AJ227" i="24" s="1"/>
  <c r="AT227" i="24" s="1"/>
  <c r="X171" i="24"/>
  <c r="AA171" i="24" s="1"/>
  <c r="AB171" i="24" s="1"/>
  <c r="AC171" i="24" s="1"/>
  <c r="AJ171" i="24" s="1"/>
  <c r="AI281" i="24"/>
  <c r="X263" i="24"/>
  <c r="AA263" i="24" s="1"/>
  <c r="AB263" i="24" s="1"/>
  <c r="AC263" i="24" s="1"/>
  <c r="AI284" i="24"/>
  <c r="W132" i="24"/>
  <c r="Y132" i="24" s="1"/>
  <c r="W282" i="24"/>
  <c r="Y282" i="24" s="1"/>
  <c r="X243" i="24"/>
  <c r="AA243" i="24" s="1"/>
  <c r="AB243" i="24" s="1"/>
  <c r="AC243" i="24" s="1"/>
  <c r="AJ243" i="24" s="1"/>
  <c r="AT243" i="24" s="1"/>
  <c r="W171" i="24"/>
  <c r="Y171" i="24" s="1"/>
  <c r="AE312" i="24"/>
  <c r="AF312" i="24" s="1"/>
  <c r="AI238" i="24"/>
  <c r="AJ238" i="24" s="1"/>
  <c r="AT238" i="24" s="1"/>
  <c r="X191" i="24"/>
  <c r="AA191" i="24" s="1"/>
  <c r="AB191" i="24" s="1"/>
  <c r="AC191" i="24" s="1"/>
  <c r="AJ191" i="24" s="1"/>
  <c r="X270" i="24"/>
  <c r="AA270" i="24" s="1"/>
  <c r="AB270" i="24" s="1"/>
  <c r="AC270" i="24" s="1"/>
  <c r="AJ270" i="24" s="1"/>
  <c r="AT270" i="24" s="1"/>
  <c r="W312" i="24"/>
  <c r="Y312" i="24" s="1"/>
  <c r="W253" i="24"/>
  <c r="Y253" i="24" s="1"/>
  <c r="W158" i="24"/>
  <c r="Y158" i="24" s="1"/>
  <c r="AI290" i="24"/>
  <c r="X291" i="24"/>
  <c r="AA291" i="24" s="1"/>
  <c r="AB291" i="24" s="1"/>
  <c r="AC291" i="24" s="1"/>
  <c r="AJ291" i="24" s="1"/>
  <c r="AT291" i="24" s="1"/>
  <c r="AE261" i="24"/>
  <c r="AF261" i="24" s="1"/>
  <c r="AI283" i="24"/>
  <c r="X158" i="24"/>
  <c r="AA158" i="24" s="1"/>
  <c r="AB158" i="24" s="1"/>
  <c r="AC158" i="24" s="1"/>
  <c r="AJ158" i="24" s="1"/>
  <c r="X147" i="24"/>
  <c r="AA147" i="24" s="1"/>
  <c r="AB147" i="24" s="1"/>
  <c r="AC147" i="24" s="1"/>
  <c r="AJ147" i="24" s="1"/>
  <c r="X185" i="24"/>
  <c r="AA185" i="24" s="1"/>
  <c r="AB185" i="24" s="1"/>
  <c r="AC185" i="24" s="1"/>
  <c r="AJ185" i="24" s="1"/>
  <c r="X130" i="24"/>
  <c r="AA130" i="24" s="1"/>
  <c r="AB130" i="24" s="1"/>
  <c r="AC130" i="24" s="1"/>
  <c r="AJ130" i="24" s="1"/>
  <c r="W279" i="24"/>
  <c r="Y279" i="24" s="1"/>
  <c r="AE290" i="24"/>
  <c r="AF290" i="24" s="1"/>
  <c r="W238" i="24"/>
  <c r="Y238" i="24" s="1"/>
  <c r="AI312" i="24"/>
  <c r="AJ312" i="24" s="1"/>
  <c r="AT312" i="24" s="1"/>
  <c r="X283" i="24"/>
  <c r="AA283" i="24" s="1"/>
  <c r="AB283" i="24" s="1"/>
  <c r="AC283" i="24" s="1"/>
  <c r="AE204" i="24"/>
  <c r="AF204" i="24" s="1"/>
  <c r="W291" i="24"/>
  <c r="Y291" i="24" s="1"/>
  <c r="AI261" i="24"/>
  <c r="AI309" i="24"/>
  <c r="AJ309" i="24" s="1"/>
  <c r="AT309" i="24" s="1"/>
  <c r="X258" i="24"/>
  <c r="AA258" i="24" s="1"/>
  <c r="AB258" i="24" s="1"/>
  <c r="AC258" i="24" s="1"/>
  <c r="W147" i="24"/>
  <c r="Y147" i="24" s="1"/>
  <c r="AE147" i="24"/>
  <c r="AF147" i="24" s="1"/>
  <c r="W130" i="24"/>
  <c r="Y130" i="24" s="1"/>
  <c r="W266" i="24"/>
  <c r="Y266" i="24" s="1"/>
  <c r="AE313" i="24"/>
  <c r="AF313" i="24" s="1"/>
  <c r="AE266" i="24"/>
  <c r="AF266" i="24" s="1"/>
  <c r="W166" i="24"/>
  <c r="Y166" i="24" s="1"/>
  <c r="X117" i="24"/>
  <c r="AA117" i="24" s="1"/>
  <c r="AB117" i="24" s="1"/>
  <c r="AC117" i="24" s="1"/>
  <c r="AJ117" i="24" s="1"/>
  <c r="AE191" i="24"/>
  <c r="AF191" i="24" s="1"/>
  <c r="AE158" i="24"/>
  <c r="AF158" i="24" s="1"/>
  <c r="AE151" i="24"/>
  <c r="AF151" i="24" s="1"/>
  <c r="W193" i="24"/>
  <c r="Y193" i="24" s="1"/>
  <c r="AE176" i="24"/>
  <c r="AF176" i="24" s="1"/>
  <c r="X198" i="24"/>
  <c r="AA198" i="24" s="1"/>
  <c r="AB198" i="24" s="1"/>
  <c r="AC198" i="24" s="1"/>
  <c r="AJ198" i="24" s="1"/>
  <c r="W191" i="24"/>
  <c r="Y191" i="24" s="1"/>
  <c r="X266" i="24"/>
  <c r="AA266" i="24" s="1"/>
  <c r="AB266" i="24" s="1"/>
  <c r="AC266" i="24" s="1"/>
  <c r="AJ266" i="24" s="1"/>
  <c r="AT266" i="24" s="1"/>
  <c r="W168" i="24"/>
  <c r="Y168" i="24" s="1"/>
  <c r="W146" i="24"/>
  <c r="Y146" i="24" s="1"/>
  <c r="AI313" i="24"/>
  <c r="X299" i="24"/>
  <c r="AA299" i="24" s="1"/>
  <c r="AB299" i="24" s="1"/>
  <c r="AC299" i="24" s="1"/>
  <c r="AI195" i="24"/>
  <c r="AE133" i="24"/>
  <c r="AF133" i="24" s="1"/>
  <c r="X262" i="24"/>
  <c r="AA262" i="24" s="1"/>
  <c r="AB262" i="24" s="1"/>
  <c r="AC262" i="24" s="1"/>
  <c r="W133" i="24"/>
  <c r="Y133" i="24" s="1"/>
  <c r="AE114" i="24"/>
  <c r="AF114" i="24" s="1"/>
  <c r="AI153" i="24"/>
  <c r="W233" i="24"/>
  <c r="Y233" i="24" s="1"/>
  <c r="AI271" i="24"/>
  <c r="X313" i="24"/>
  <c r="AA313" i="24" s="1"/>
  <c r="AB313" i="24" s="1"/>
  <c r="AC313" i="24" s="1"/>
  <c r="W139" i="24"/>
  <c r="Y139" i="24" s="1"/>
  <c r="AE292" i="24"/>
  <c r="AF292" i="24" s="1"/>
  <c r="AE300" i="24"/>
  <c r="AF300" i="24" s="1"/>
  <c r="AE279" i="24"/>
  <c r="W300" i="24"/>
  <c r="Y300" i="24" s="1"/>
  <c r="X292" i="24"/>
  <c r="AA292" i="24" s="1"/>
  <c r="AB292" i="24" s="1"/>
  <c r="AC292" i="24" s="1"/>
  <c r="AJ292" i="24" s="1"/>
  <c r="AT292" i="24" s="1"/>
  <c r="X253" i="24"/>
  <c r="AA253" i="24" s="1"/>
  <c r="AB253" i="24" s="1"/>
  <c r="AC253" i="24" s="1"/>
  <c r="AJ253" i="24" s="1"/>
  <c r="AT253" i="24" s="1"/>
  <c r="AE238" i="24"/>
  <c r="AE258" i="24"/>
  <c r="AF258" i="24" s="1"/>
  <c r="W204" i="24"/>
  <c r="Y204" i="24" s="1"/>
  <c r="W176" i="24"/>
  <c r="Y176" i="24" s="1"/>
  <c r="W185" i="24"/>
  <c r="Y185" i="24" s="1"/>
  <c r="X176" i="24"/>
  <c r="AA176" i="24" s="1"/>
  <c r="AB176" i="24" s="1"/>
  <c r="AC176" i="24" s="1"/>
  <c r="AJ176" i="24" s="1"/>
  <c r="AE198" i="24"/>
  <c r="AF198" i="24" s="1"/>
  <c r="W292" i="24"/>
  <c r="Y292" i="24" s="1"/>
  <c r="W268" i="24"/>
  <c r="Y268" i="24" s="1"/>
  <c r="X268" i="24"/>
  <c r="AA268" i="24" s="1"/>
  <c r="AB268" i="24" s="1"/>
  <c r="AC268" i="24" s="1"/>
  <c r="AJ268" i="24" s="1"/>
  <c r="AT268" i="24" s="1"/>
  <c r="AI239" i="24"/>
  <c r="AJ239" i="24" s="1"/>
  <c r="AT239" i="24" s="1"/>
  <c r="AI247" i="24"/>
  <c r="AJ247" i="24" s="1"/>
  <c r="AT247" i="24" s="1"/>
  <c r="X166" i="24"/>
  <c r="AA166" i="24" s="1"/>
  <c r="AB166" i="24" s="1"/>
  <c r="AC166" i="24" s="1"/>
  <c r="AJ166" i="24" s="1"/>
  <c r="W151" i="24"/>
  <c r="Y151" i="24" s="1"/>
  <c r="X120" i="24"/>
  <c r="AA120" i="24" s="1"/>
  <c r="AB120" i="24" s="1"/>
  <c r="AC120" i="24" s="1"/>
  <c r="AJ120" i="24" s="1"/>
  <c r="AE185" i="24"/>
  <c r="AF185" i="24" s="1"/>
  <c r="W198" i="24"/>
  <c r="Y198" i="24" s="1"/>
  <c r="AE233" i="24"/>
  <c r="AF233" i="24" s="1"/>
  <c r="X143" i="24"/>
  <c r="AA143" i="24" s="1"/>
  <c r="AB143" i="24" s="1"/>
  <c r="AC143" i="24" s="1"/>
  <c r="AJ143" i="24" s="1"/>
  <c r="AE209" i="24"/>
  <c r="AF209" i="24" s="1"/>
  <c r="W153" i="24"/>
  <c r="Y153" i="24" s="1"/>
  <c r="AE139" i="24"/>
  <c r="AF139" i="24" s="1"/>
  <c r="AI299" i="24"/>
  <c r="W262" i="24"/>
  <c r="Y262" i="24" s="1"/>
  <c r="X232" i="24"/>
  <c r="AA232" i="24" s="1"/>
  <c r="AB232" i="24" s="1"/>
  <c r="AC232" i="24" s="1"/>
  <c r="AJ232" i="24" s="1"/>
  <c r="AT232" i="24" s="1"/>
  <c r="AI262" i="24"/>
  <c r="W271" i="24"/>
  <c r="Y271" i="24" s="1"/>
  <c r="X195" i="24"/>
  <c r="AA195" i="24" s="1"/>
  <c r="AB195" i="24" s="1"/>
  <c r="AC195" i="24" s="1"/>
  <c r="X146" i="24"/>
  <c r="AA146" i="24" s="1"/>
  <c r="AB146" i="24" s="1"/>
  <c r="AC146" i="24" s="1"/>
  <c r="AJ146" i="24" s="1"/>
  <c r="W114" i="24"/>
  <c r="Y114" i="24" s="1"/>
  <c r="AE232" i="24"/>
  <c r="AF232" i="24" s="1"/>
  <c r="W232" i="24"/>
  <c r="Y232" i="24" s="1"/>
  <c r="X271" i="24"/>
  <c r="AA271" i="24" s="1"/>
  <c r="AB271" i="24" s="1"/>
  <c r="AC271" i="24" s="1"/>
  <c r="X168" i="24"/>
  <c r="AA168" i="24" s="1"/>
  <c r="AB168" i="24" s="1"/>
  <c r="AC168" i="24" s="1"/>
  <c r="AJ168" i="24" s="1"/>
  <c r="AE146" i="24"/>
  <c r="AF146" i="24" s="1"/>
  <c r="W195" i="24"/>
  <c r="Y195" i="24" s="1"/>
  <c r="W209" i="24"/>
  <c r="Y209" i="24" s="1"/>
  <c r="X139" i="24"/>
  <c r="AA139" i="24" s="1"/>
  <c r="AB139" i="24" s="1"/>
  <c r="AC139" i="24" s="1"/>
  <c r="AJ139" i="24" s="1"/>
  <c r="X233" i="24"/>
  <c r="AA233" i="24" s="1"/>
  <c r="AB233" i="24" s="1"/>
  <c r="AC233" i="24" s="1"/>
  <c r="AJ233" i="24" s="1"/>
  <c r="AT233" i="24" s="1"/>
  <c r="W143" i="24"/>
  <c r="Y143" i="24" s="1"/>
  <c r="AE143" i="24"/>
  <c r="AF143" i="24" s="1"/>
  <c r="X133" i="24"/>
  <c r="AA133" i="24" s="1"/>
  <c r="AB133" i="24" s="1"/>
  <c r="AC133" i="24" s="1"/>
  <c r="AJ133" i="24" s="1"/>
  <c r="X114" i="24"/>
  <c r="AA114" i="24" s="1"/>
  <c r="AB114" i="24" s="1"/>
  <c r="AC114" i="24" s="1"/>
  <c r="AJ114" i="24" s="1"/>
  <c r="X153" i="24"/>
  <c r="AA153" i="24" s="1"/>
  <c r="AB153" i="24" s="1"/>
  <c r="AC153" i="24" s="1"/>
  <c r="AE250" i="24"/>
  <c r="AI307" i="24"/>
  <c r="AE239" i="24"/>
  <c r="AE226" i="24"/>
  <c r="AF226" i="24" s="1"/>
  <c r="AE117" i="24"/>
  <c r="AF117" i="24" s="1"/>
  <c r="AI314" i="24"/>
  <c r="AJ314" i="24" s="1"/>
  <c r="AT314" i="24" s="1"/>
  <c r="W309" i="24"/>
  <c r="Y309" i="24" s="1"/>
  <c r="W270" i="24"/>
  <c r="Y270" i="24" s="1"/>
  <c r="X277" i="24"/>
  <c r="AA277" i="24" s="1"/>
  <c r="AB277" i="24" s="1"/>
  <c r="AC277" i="24" s="1"/>
  <c r="AE264" i="24"/>
  <c r="AF264" i="24" s="1"/>
  <c r="X204" i="24"/>
  <c r="AA204" i="24" s="1"/>
  <c r="AB204" i="24" s="1"/>
  <c r="AC204" i="24" s="1"/>
  <c r="AJ204" i="24" s="1"/>
  <c r="AE166" i="24"/>
  <c r="AF166" i="24" s="1"/>
  <c r="X151" i="24"/>
  <c r="AA151" i="24" s="1"/>
  <c r="AB151" i="24" s="1"/>
  <c r="AC151" i="24" s="1"/>
  <c r="AJ151" i="24" s="1"/>
  <c r="W117" i="24"/>
  <c r="Y117" i="24" s="1"/>
  <c r="AE314" i="24"/>
  <c r="W277" i="24"/>
  <c r="Y277" i="24" s="1"/>
  <c r="W264" i="24"/>
  <c r="Y264" i="24" s="1"/>
  <c r="AE247" i="24"/>
  <c r="X297" i="24"/>
  <c r="AA297" i="24" s="1"/>
  <c r="AB297" i="24" s="1"/>
  <c r="AC297" i="24" s="1"/>
  <c r="AJ297" i="24" s="1"/>
  <c r="AT297" i="24" s="1"/>
  <c r="W250" i="24"/>
  <c r="Y250" i="24" s="1"/>
  <c r="X144" i="24"/>
  <c r="AA144" i="24" s="1"/>
  <c r="AB144" i="24" s="1"/>
  <c r="AC144" i="24" s="1"/>
  <c r="AJ144" i="24" s="1"/>
  <c r="W314" i="24"/>
  <c r="Y314" i="24" s="1"/>
  <c r="AI277" i="24"/>
  <c r="AE285" i="24"/>
  <c r="AF285" i="24" s="1"/>
  <c r="X264" i="24"/>
  <c r="AA264" i="24" s="1"/>
  <c r="AB264" i="24" s="1"/>
  <c r="AC264" i="24" s="1"/>
  <c r="AJ264" i="24" s="1"/>
  <c r="AT264" i="24" s="1"/>
  <c r="AE256" i="24"/>
  <c r="AF256" i="24" s="1"/>
  <c r="X226" i="24"/>
  <c r="AA226" i="24" s="1"/>
  <c r="AB226" i="24" s="1"/>
  <c r="AC226" i="24" s="1"/>
  <c r="W297" i="24"/>
  <c r="Y297" i="24" s="1"/>
  <c r="AE297" i="24"/>
  <c r="AF297" i="24" s="1"/>
  <c r="W285" i="24"/>
  <c r="Y285" i="24" s="1"/>
  <c r="AE156" i="24"/>
  <c r="AF156" i="24" s="1"/>
  <c r="AE144" i="24"/>
  <c r="AF144" i="24" s="1"/>
  <c r="X189" i="24"/>
  <c r="AA189" i="24" s="1"/>
  <c r="AB189" i="24" s="1"/>
  <c r="AC189" i="24" s="1"/>
  <c r="AJ189" i="24" s="1"/>
  <c r="AI250" i="24"/>
  <c r="AJ250" i="24" s="1"/>
  <c r="AT250" i="24" s="1"/>
  <c r="X285" i="24"/>
  <c r="AA285" i="24" s="1"/>
  <c r="AB285" i="24" s="1"/>
  <c r="AC285" i="24" s="1"/>
  <c r="AJ285" i="24" s="1"/>
  <c r="AT285" i="24" s="1"/>
  <c r="AI296" i="24"/>
  <c r="AJ296" i="24" s="1"/>
  <c r="AT296" i="24" s="1"/>
  <c r="W247" i="24"/>
  <c r="Y247" i="24" s="1"/>
  <c r="AI226" i="24"/>
  <c r="X156" i="24"/>
  <c r="AA156" i="24" s="1"/>
  <c r="AB156" i="24" s="1"/>
  <c r="AC156" i="24" s="1"/>
  <c r="AJ156" i="24" s="1"/>
  <c r="W144" i="24"/>
  <c r="Y144" i="24" s="1"/>
  <c r="AE194" i="24"/>
  <c r="AF194" i="24" s="1"/>
  <c r="AE296" i="24"/>
  <c r="AE243" i="24"/>
  <c r="AF243" i="24" s="1"/>
  <c r="W243" i="24"/>
  <c r="Y243" i="24" s="1"/>
  <c r="W145" i="24"/>
  <c r="Y145" i="24" s="1"/>
  <c r="AE189" i="24"/>
  <c r="AF189" i="24" s="1"/>
  <c r="W296" i="24"/>
  <c r="Y296" i="24" s="1"/>
  <c r="W256" i="24"/>
  <c r="Y256" i="24" s="1"/>
  <c r="W307" i="24"/>
  <c r="Y307" i="24" s="1"/>
  <c r="AE253" i="24"/>
  <c r="AF253" i="24" s="1"/>
  <c r="X307" i="24"/>
  <c r="AA307" i="24" s="1"/>
  <c r="AB307" i="24" s="1"/>
  <c r="AC307" i="24" s="1"/>
  <c r="AE309" i="24"/>
  <c r="AF309" i="24" s="1"/>
  <c r="AE268" i="24"/>
  <c r="AF268" i="24" s="1"/>
  <c r="X256" i="24"/>
  <c r="AA256" i="24" s="1"/>
  <c r="AB256" i="24" s="1"/>
  <c r="AC256" i="24" s="1"/>
  <c r="AJ256" i="24" s="1"/>
  <c r="AT256" i="24" s="1"/>
  <c r="AE270" i="24"/>
  <c r="AF270" i="24" s="1"/>
  <c r="AE113" i="24"/>
  <c r="AF113" i="24" s="1"/>
  <c r="AE120" i="24"/>
  <c r="AF120" i="24" s="1"/>
  <c r="AE174" i="24"/>
  <c r="AF174" i="24" s="1"/>
  <c r="W299" i="24"/>
  <c r="Y299" i="24" s="1"/>
  <c r="W239" i="24"/>
  <c r="Y239" i="24" s="1"/>
  <c r="W113" i="24"/>
  <c r="Y113" i="24" s="1"/>
  <c r="AE168" i="24"/>
  <c r="AF168" i="24" s="1"/>
  <c r="X113" i="24"/>
  <c r="AA113" i="24" s="1"/>
  <c r="AB113" i="24" s="1"/>
  <c r="AC113" i="24" s="1"/>
  <c r="AJ113" i="24" s="1"/>
  <c r="W120" i="24"/>
  <c r="Y120" i="24" s="1"/>
  <c r="W189" i="24"/>
  <c r="Y189" i="24" s="1"/>
  <c r="X209" i="24"/>
  <c r="AA209" i="24" s="1"/>
  <c r="AB209" i="24" s="1"/>
  <c r="AC209" i="24" s="1"/>
  <c r="AJ209" i="24" s="1"/>
  <c r="W174" i="24"/>
  <c r="Y174" i="24" s="1"/>
  <c r="X174" i="24"/>
  <c r="AA174" i="24" s="1"/>
  <c r="AB174" i="24" s="1"/>
  <c r="AC174" i="24" s="1"/>
  <c r="AJ174" i="24" s="1"/>
  <c r="AE186" i="24"/>
  <c r="AF186" i="24" s="1"/>
  <c r="X89" i="24"/>
  <c r="AA89" i="24" s="1"/>
  <c r="AB89" i="24" s="1"/>
  <c r="AC89" i="24" s="1"/>
  <c r="W186" i="24"/>
  <c r="Y186" i="24" s="1"/>
  <c r="AE201" i="24"/>
  <c r="AF201" i="24" s="1"/>
  <c r="X112" i="24"/>
  <c r="AA112" i="24" s="1"/>
  <c r="AB112" i="24" s="1"/>
  <c r="AC112" i="24" s="1"/>
  <c r="AE150" i="24"/>
  <c r="AF150" i="24" s="1"/>
  <c r="AE179" i="24"/>
  <c r="AF179" i="24" s="1"/>
  <c r="W119" i="24"/>
  <c r="Y119" i="24" s="1"/>
  <c r="AI172" i="24"/>
  <c r="W50" i="24"/>
  <c r="Y50" i="24" s="1"/>
  <c r="W101" i="24"/>
  <c r="Y101" i="24" s="1"/>
  <c r="AE100" i="24"/>
  <c r="AF100" i="24" s="1"/>
  <c r="AE60" i="24"/>
  <c r="AF60" i="24" s="1"/>
  <c r="X25" i="24"/>
  <c r="AA25" i="24" s="1"/>
  <c r="AB25" i="24" s="1"/>
  <c r="AC25" i="24" s="1"/>
  <c r="AJ25" i="24" s="1"/>
  <c r="AE101" i="24"/>
  <c r="AF101" i="24" s="1"/>
  <c r="W150" i="24"/>
  <c r="Y150" i="24" s="1"/>
  <c r="W179" i="24"/>
  <c r="Y179" i="24" s="1"/>
  <c r="X181" i="24"/>
  <c r="AA181" i="24" s="1"/>
  <c r="AB181" i="24" s="1"/>
  <c r="AC181" i="24" s="1"/>
  <c r="X208" i="24"/>
  <c r="AA208" i="24" s="1"/>
  <c r="AB208" i="24" s="1"/>
  <c r="AC208" i="24" s="1"/>
  <c r="W128" i="24"/>
  <c r="Y128" i="24" s="1"/>
  <c r="X196" i="24"/>
  <c r="AA196" i="24" s="1"/>
  <c r="AB196" i="24" s="1"/>
  <c r="AC196" i="24" s="1"/>
  <c r="AJ196" i="24" s="1"/>
  <c r="AE128" i="24"/>
  <c r="AI112" i="24"/>
  <c r="W60" i="24"/>
  <c r="Y60" i="24" s="1"/>
  <c r="X92" i="24"/>
  <c r="AA92" i="24" s="1"/>
  <c r="AB92" i="24" s="1"/>
  <c r="AC92" i="24" s="1"/>
  <c r="W181" i="24"/>
  <c r="Y181" i="24" s="1"/>
  <c r="AI181" i="24"/>
  <c r="CD166" i="24"/>
  <c r="CD113" i="24"/>
  <c r="W154" i="24"/>
  <c r="Y154" i="24" s="1"/>
  <c r="X162" i="24"/>
  <c r="AA162" i="24" s="1"/>
  <c r="AB162" i="24" s="1"/>
  <c r="AC162" i="24" s="1"/>
  <c r="AJ162" i="24" s="1"/>
  <c r="X206" i="24"/>
  <c r="AA206" i="24" s="1"/>
  <c r="AB206" i="24" s="1"/>
  <c r="AC206" i="24" s="1"/>
  <c r="AJ206" i="24" s="1"/>
  <c r="X46" i="24"/>
  <c r="AA46" i="24" s="1"/>
  <c r="AB46" i="24" s="1"/>
  <c r="AC46" i="24" s="1"/>
  <c r="AI54" i="24"/>
  <c r="X18" i="24"/>
  <c r="AA18" i="24" s="1"/>
  <c r="AB18" i="24" s="1"/>
  <c r="AC18" i="24" s="1"/>
  <c r="W188" i="24"/>
  <c r="Y188" i="24" s="1"/>
  <c r="AI207" i="24"/>
  <c r="X157" i="24"/>
  <c r="AA157" i="24" s="1"/>
  <c r="AB157" i="24" s="1"/>
  <c r="AC157" i="24" s="1"/>
  <c r="AE137" i="24"/>
  <c r="AI18" i="24"/>
  <c r="W27" i="24"/>
  <c r="Y27" i="24" s="1"/>
  <c r="W78" i="24"/>
  <c r="Y78" i="24" s="1"/>
  <c r="X54" i="24"/>
  <c r="AA54" i="24" s="1"/>
  <c r="AB54" i="24" s="1"/>
  <c r="AC54" i="24" s="1"/>
  <c r="X95" i="24"/>
  <c r="AA95" i="24" s="1"/>
  <c r="AB95" i="24" s="1"/>
  <c r="AC95" i="24" s="1"/>
  <c r="AJ95" i="24" s="1"/>
  <c r="X148" i="24"/>
  <c r="AA148" i="24" s="1"/>
  <c r="AB148" i="24" s="1"/>
  <c r="AC148" i="24" s="1"/>
  <c r="AE125" i="24"/>
  <c r="AF125" i="24" s="1"/>
  <c r="W87" i="24"/>
  <c r="Y87" i="24" s="1"/>
  <c r="W54" i="24"/>
  <c r="Y54" i="24" s="1"/>
  <c r="W10" i="24"/>
  <c r="Y10" i="24" s="1"/>
  <c r="X10" i="24"/>
  <c r="AA10" i="24" s="1"/>
  <c r="AB10" i="24" s="1"/>
  <c r="AC10" i="24" s="1"/>
  <c r="AJ10" i="24" s="1"/>
  <c r="X199" i="24"/>
  <c r="AA199" i="24" s="1"/>
  <c r="AB199" i="24" s="1"/>
  <c r="AC199" i="24" s="1"/>
  <c r="AJ199" i="24" s="1"/>
  <c r="AE134" i="24"/>
  <c r="AF134" i="24" s="1"/>
  <c r="AE142" i="24"/>
  <c r="AE210" i="24"/>
  <c r="AF210" i="24" s="1"/>
  <c r="AI170" i="24"/>
  <c r="AJ170" i="24" s="1"/>
  <c r="W19" i="24"/>
  <c r="Y19" i="24" s="1"/>
  <c r="X36" i="24"/>
  <c r="AA36" i="24" s="1"/>
  <c r="AB36" i="24" s="1"/>
  <c r="AC36" i="24" s="1"/>
  <c r="AJ36" i="24" s="1"/>
  <c r="AE78" i="24"/>
  <c r="W157" i="24"/>
  <c r="Y157" i="24" s="1"/>
  <c r="W203" i="24"/>
  <c r="Y203" i="24" s="1"/>
  <c r="X192" i="24"/>
  <c r="AA192" i="24" s="1"/>
  <c r="AB192" i="24" s="1"/>
  <c r="AC192" i="24" s="1"/>
  <c r="AJ192" i="24" s="1"/>
  <c r="AE159" i="24"/>
  <c r="AF159" i="24" s="1"/>
  <c r="AI78" i="24"/>
  <c r="AJ78" i="24" s="1"/>
  <c r="AI203" i="24"/>
  <c r="AI165" i="24"/>
  <c r="AJ165" i="24" s="1"/>
  <c r="W31" i="24"/>
  <c r="Y31" i="24" s="1"/>
  <c r="W46" i="24"/>
  <c r="Y46" i="24" s="1"/>
  <c r="X41" i="24"/>
  <c r="AA41" i="24" s="1"/>
  <c r="AB41" i="24" s="1"/>
  <c r="AC41" i="24" s="1"/>
  <c r="AE96" i="24"/>
  <c r="AF96" i="24" s="1"/>
  <c r="X161" i="24"/>
  <c r="AA161" i="24" s="1"/>
  <c r="AB161" i="24" s="1"/>
  <c r="AC161" i="24" s="1"/>
  <c r="AJ161" i="24" s="1"/>
  <c r="X188" i="24"/>
  <c r="AA188" i="24" s="1"/>
  <c r="AB188" i="24" s="1"/>
  <c r="AC188" i="24" s="1"/>
  <c r="AJ188" i="24" s="1"/>
  <c r="W205" i="24"/>
  <c r="Y205" i="24" s="1"/>
  <c r="W182" i="24"/>
  <c r="Y182" i="24" s="1"/>
  <c r="AE205" i="24"/>
  <c r="AF205" i="24" s="1"/>
  <c r="AE170" i="24"/>
  <c r="W194" i="24"/>
  <c r="Y194" i="24" s="1"/>
  <c r="W206" i="24"/>
  <c r="Y206" i="24" s="1"/>
  <c r="W199" i="24"/>
  <c r="Y199" i="24" s="1"/>
  <c r="X50" i="24"/>
  <c r="AA50" i="24" s="1"/>
  <c r="AB50" i="24" s="1"/>
  <c r="AC50" i="24" s="1"/>
  <c r="AJ50" i="24" s="1"/>
  <c r="AI46" i="24"/>
  <c r="AI157" i="24"/>
  <c r="AE56" i="24"/>
  <c r="W165" i="24"/>
  <c r="Y165" i="24" s="1"/>
  <c r="X203" i="24"/>
  <c r="AA203" i="24" s="1"/>
  <c r="AB203" i="24" s="1"/>
  <c r="AC203" i="24" s="1"/>
  <c r="X177" i="24"/>
  <c r="AA177" i="24" s="1"/>
  <c r="AB177" i="24" s="1"/>
  <c r="AC177" i="24" s="1"/>
  <c r="AJ177" i="24" s="1"/>
  <c r="W36" i="24"/>
  <c r="Y36" i="24" s="1"/>
  <c r="AI210" i="24"/>
  <c r="W18" i="24"/>
  <c r="Y18" i="24" s="1"/>
  <c r="AI53" i="24"/>
  <c r="AJ53" i="24" s="1"/>
  <c r="AE95" i="24"/>
  <c r="AF95" i="24" s="1"/>
  <c r="AI148" i="24"/>
  <c r="CD158" i="24"/>
  <c r="AI21" i="24"/>
  <c r="AE21" i="24"/>
  <c r="AF21" i="24" s="1"/>
  <c r="W42" i="24"/>
  <c r="Y42" i="24" s="1"/>
  <c r="W155" i="24"/>
  <c r="Y155" i="24" s="1"/>
  <c r="X187" i="24"/>
  <c r="AA187" i="24" s="1"/>
  <c r="AB187" i="24" s="1"/>
  <c r="AC187" i="24" s="1"/>
  <c r="X136" i="24"/>
  <c r="AA136" i="24" s="1"/>
  <c r="AB136" i="24" s="1"/>
  <c r="AC136" i="24" s="1"/>
  <c r="AE163" i="24"/>
  <c r="AF163" i="24" s="1"/>
  <c r="W149" i="24"/>
  <c r="Y149" i="24" s="1"/>
  <c r="X122" i="24"/>
  <c r="AA122" i="24" s="1"/>
  <c r="AB122" i="24" s="1"/>
  <c r="AC122" i="24" s="1"/>
  <c r="AE141" i="24"/>
  <c r="AF141" i="24" s="1"/>
  <c r="W136" i="24"/>
  <c r="Y136" i="24" s="1"/>
  <c r="X163" i="24"/>
  <c r="AA163" i="24" s="1"/>
  <c r="AB163" i="24" s="1"/>
  <c r="AC163" i="24" s="1"/>
  <c r="AJ163" i="24" s="1"/>
  <c r="AE145" i="24"/>
  <c r="AF145" i="24" s="1"/>
  <c r="AI83" i="24"/>
  <c r="AJ83" i="24" s="1"/>
  <c r="AI101" i="24"/>
  <c r="AJ101" i="24" s="1"/>
  <c r="AI97" i="24"/>
  <c r="AI92" i="24"/>
  <c r="AI179" i="24"/>
  <c r="AJ179" i="24" s="1"/>
  <c r="AI150" i="24"/>
  <c r="AJ150" i="24" s="1"/>
  <c r="AI208" i="24"/>
  <c r="W74" i="24"/>
  <c r="Y74" i="24" s="1"/>
  <c r="AE25" i="24"/>
  <c r="AF25" i="24" s="1"/>
  <c r="X60" i="24"/>
  <c r="AA60" i="24" s="1"/>
  <c r="AB60" i="24" s="1"/>
  <c r="AC60" i="24" s="1"/>
  <c r="AJ60" i="24" s="1"/>
  <c r="AE131" i="24"/>
  <c r="AF131" i="24" s="1"/>
  <c r="AE183" i="24"/>
  <c r="X186" i="24"/>
  <c r="AA186" i="24" s="1"/>
  <c r="AB186" i="24" s="1"/>
  <c r="AC186" i="24" s="1"/>
  <c r="AJ186" i="24" s="1"/>
  <c r="AE172" i="24"/>
  <c r="AF172" i="24" s="1"/>
  <c r="AE196" i="24"/>
  <c r="AF196" i="24" s="1"/>
  <c r="W131" i="24"/>
  <c r="Y131" i="24" s="1"/>
  <c r="AI201" i="24"/>
  <c r="W89" i="24"/>
  <c r="Y89" i="24" s="1"/>
  <c r="CD118" i="24"/>
  <c r="CD116" i="24"/>
  <c r="AI89" i="24"/>
  <c r="AI183" i="24"/>
  <c r="AJ183" i="24" s="1"/>
  <c r="W25" i="24"/>
  <c r="Y25" i="24" s="1"/>
  <c r="W82" i="24"/>
  <c r="Y82" i="24" s="1"/>
  <c r="W92" i="24"/>
  <c r="Y92" i="24" s="1"/>
  <c r="X100" i="24"/>
  <c r="AA100" i="24" s="1"/>
  <c r="AB100" i="24" s="1"/>
  <c r="AC100" i="24" s="1"/>
  <c r="AJ100" i="24" s="1"/>
  <c r="AI128" i="24"/>
  <c r="AJ128" i="24" s="1"/>
  <c r="W208" i="24"/>
  <c r="Y208" i="24" s="1"/>
  <c r="W196" i="24"/>
  <c r="Y196" i="24" s="1"/>
  <c r="AE119" i="24"/>
  <c r="AF119" i="24" s="1"/>
  <c r="AE50" i="24"/>
  <c r="AF50" i="24" s="1"/>
  <c r="CD114" i="24"/>
  <c r="CD115" i="24"/>
  <c r="CD137" i="24"/>
  <c r="AI74" i="24"/>
  <c r="AJ74" i="24" s="1"/>
  <c r="AI136" i="24"/>
  <c r="W53" i="24"/>
  <c r="Y53" i="24" s="1"/>
  <c r="W86" i="24"/>
  <c r="Y86" i="24" s="1"/>
  <c r="W95" i="24"/>
  <c r="Y95" i="24" s="1"/>
  <c r="W56" i="24"/>
  <c r="Y56" i="24" s="1"/>
  <c r="AE69" i="24"/>
  <c r="AF69" i="24" s="1"/>
  <c r="X31" i="24"/>
  <c r="AA31" i="24" s="1"/>
  <c r="AB31" i="24" s="1"/>
  <c r="AC31" i="24" s="1"/>
  <c r="X96" i="24"/>
  <c r="AA96" i="24" s="1"/>
  <c r="AB96" i="24" s="1"/>
  <c r="AC96" i="24" s="1"/>
  <c r="W183" i="24"/>
  <c r="Y183" i="24" s="1"/>
  <c r="AE188" i="24"/>
  <c r="AF188" i="24" s="1"/>
  <c r="AE112" i="24"/>
  <c r="AF112" i="24" s="1"/>
  <c r="AE199" i="24"/>
  <c r="AF199" i="24" s="1"/>
  <c r="X131" i="24"/>
  <c r="AA131" i="24" s="1"/>
  <c r="AB131" i="24" s="1"/>
  <c r="AC131" i="24" s="1"/>
  <c r="AJ131" i="24" s="1"/>
  <c r="X134" i="24"/>
  <c r="AA134" i="24" s="1"/>
  <c r="AB134" i="24" s="1"/>
  <c r="AC134" i="24" s="1"/>
  <c r="AJ134" i="24" s="1"/>
  <c r="AE123" i="24"/>
  <c r="AF123" i="24" s="1"/>
  <c r="W192" i="24"/>
  <c r="Y192" i="24" s="1"/>
  <c r="W125" i="24"/>
  <c r="Y125" i="24" s="1"/>
  <c r="W142" i="24"/>
  <c r="Y142" i="24" s="1"/>
  <c r="AE184" i="24"/>
  <c r="AF184" i="24" s="1"/>
  <c r="X152" i="24"/>
  <c r="AA152" i="24" s="1"/>
  <c r="AB152" i="24" s="1"/>
  <c r="AC152" i="24" s="1"/>
  <c r="AJ152" i="24" s="1"/>
  <c r="AE148" i="24"/>
  <c r="AF148" i="24" s="1"/>
  <c r="AE162" i="24"/>
  <c r="AF162" i="24" s="1"/>
  <c r="X116" i="24"/>
  <c r="AA116" i="24" s="1"/>
  <c r="AB116" i="24" s="1"/>
  <c r="AC116" i="24" s="1"/>
  <c r="AE192" i="24"/>
  <c r="AF192" i="24" s="1"/>
  <c r="X125" i="24"/>
  <c r="AA125" i="24" s="1"/>
  <c r="AB125" i="24" s="1"/>
  <c r="AC125" i="24" s="1"/>
  <c r="AJ125" i="24" s="1"/>
  <c r="W207" i="24"/>
  <c r="Y207" i="24" s="1"/>
  <c r="W170" i="24"/>
  <c r="Y170" i="24" s="1"/>
  <c r="X167" i="24"/>
  <c r="AA167" i="24" s="1"/>
  <c r="AB167" i="24" s="1"/>
  <c r="AC167" i="24" s="1"/>
  <c r="AJ167" i="24" s="1"/>
  <c r="X172" i="24"/>
  <c r="AA172" i="24" s="1"/>
  <c r="AB172" i="24" s="1"/>
  <c r="AC172" i="24" s="1"/>
  <c r="AE165" i="24"/>
  <c r="AE177" i="24"/>
  <c r="AF177" i="24" s="1"/>
  <c r="AE206" i="24"/>
  <c r="AF206" i="24" s="1"/>
  <c r="X194" i="24"/>
  <c r="AA194" i="24" s="1"/>
  <c r="AB194" i="24" s="1"/>
  <c r="AC194" i="24" s="1"/>
  <c r="AJ194" i="24" s="1"/>
  <c r="X210" i="24"/>
  <c r="AA210" i="24" s="1"/>
  <c r="AB210" i="24" s="1"/>
  <c r="AC210" i="24" s="1"/>
  <c r="X201" i="24"/>
  <c r="AA201" i="24" s="1"/>
  <c r="AB201" i="24" s="1"/>
  <c r="AC201" i="24" s="1"/>
  <c r="AI31" i="24"/>
  <c r="AI96" i="24"/>
  <c r="AI87" i="24"/>
  <c r="AI142" i="24"/>
  <c r="AJ142" i="24" s="1"/>
  <c r="AI169" i="24"/>
  <c r="AI205" i="24"/>
  <c r="AJ205" i="24" s="1"/>
  <c r="AE27" i="24"/>
  <c r="AF27" i="24" s="1"/>
  <c r="AE36" i="24"/>
  <c r="AF36" i="24" s="1"/>
  <c r="AE10" i="24"/>
  <c r="AF10" i="24" s="1"/>
  <c r="AE161" i="24"/>
  <c r="AF161" i="24" s="1"/>
  <c r="W134" i="24"/>
  <c r="Y134" i="24" s="1"/>
  <c r="W162" i="24"/>
  <c r="Y162" i="24" s="1"/>
  <c r="W159" i="24"/>
  <c r="Y159" i="24" s="1"/>
  <c r="X169" i="24"/>
  <c r="AA169" i="24" s="1"/>
  <c r="AB169" i="24" s="1"/>
  <c r="AC169" i="24" s="1"/>
  <c r="W137" i="24"/>
  <c r="Y137" i="24" s="1"/>
  <c r="X159" i="24"/>
  <c r="AA159" i="24" s="1"/>
  <c r="AB159" i="24" s="1"/>
  <c r="AC159" i="24" s="1"/>
  <c r="AJ159" i="24" s="1"/>
  <c r="X119" i="24"/>
  <c r="AA119" i="24" s="1"/>
  <c r="AB119" i="24" s="1"/>
  <c r="AC119" i="24" s="1"/>
  <c r="AJ119" i="24" s="1"/>
  <c r="AI56" i="24"/>
  <c r="AJ56" i="24" s="1"/>
  <c r="AE83" i="24"/>
  <c r="X40" i="24"/>
  <c r="AA40" i="24" s="1"/>
  <c r="AB40" i="24" s="1"/>
  <c r="AC40" i="24" s="1"/>
  <c r="AI116" i="24"/>
  <c r="W105" i="24"/>
  <c r="Y105" i="24" s="1"/>
  <c r="W79" i="24"/>
  <c r="Y79" i="24" s="1"/>
  <c r="AE105" i="24"/>
  <c r="AF105" i="24" s="1"/>
  <c r="X33" i="24"/>
  <c r="AA33" i="24" s="1"/>
  <c r="AB33" i="24" s="1"/>
  <c r="AC33" i="24" s="1"/>
  <c r="AE55" i="24"/>
  <c r="AF55" i="24" s="1"/>
  <c r="X87" i="24"/>
  <c r="AA87" i="24" s="1"/>
  <c r="AB87" i="24" s="1"/>
  <c r="AC87" i="24" s="1"/>
  <c r="AJ87" i="24" s="1"/>
  <c r="W161" i="24"/>
  <c r="Y161" i="24" s="1"/>
  <c r="W152" i="24"/>
  <c r="Y152" i="24" s="1"/>
  <c r="W163" i="24"/>
  <c r="Y163" i="24" s="1"/>
  <c r="AE182" i="24"/>
  <c r="X155" i="24"/>
  <c r="AA155" i="24" s="1"/>
  <c r="AB155" i="24" s="1"/>
  <c r="AC155" i="24" s="1"/>
  <c r="X123" i="24"/>
  <c r="AA123" i="24" s="1"/>
  <c r="AB123" i="24" s="1"/>
  <c r="AC123" i="24" s="1"/>
  <c r="W116" i="24"/>
  <c r="Y116" i="24" s="1"/>
  <c r="W169" i="24"/>
  <c r="Y169" i="24" s="1"/>
  <c r="W167" i="24"/>
  <c r="Y167" i="24" s="1"/>
  <c r="AE152" i="24"/>
  <c r="AF152" i="24" s="1"/>
  <c r="X115" i="24"/>
  <c r="AA115" i="24" s="1"/>
  <c r="AB115" i="24" s="1"/>
  <c r="AC115" i="24" s="1"/>
  <c r="X207" i="24"/>
  <c r="AA207" i="24" s="1"/>
  <c r="AB207" i="24" s="1"/>
  <c r="AC207" i="24" s="1"/>
  <c r="W187" i="24"/>
  <c r="Y187" i="24" s="1"/>
  <c r="W115" i="24"/>
  <c r="Y115" i="24" s="1"/>
  <c r="AE154" i="24"/>
  <c r="X149" i="24"/>
  <c r="AA149" i="24" s="1"/>
  <c r="AB149" i="24" s="1"/>
  <c r="AC149" i="24" s="1"/>
  <c r="AJ149" i="24" s="1"/>
  <c r="AE122" i="24"/>
  <c r="AF122" i="24" s="1"/>
  <c r="W177" i="24"/>
  <c r="Y177" i="24" s="1"/>
  <c r="AI145" i="24"/>
  <c r="AJ145" i="24" s="1"/>
  <c r="AI68" i="24"/>
  <c r="AE104" i="24"/>
  <c r="AF104" i="24" s="1"/>
  <c r="AI154" i="24"/>
  <c r="AJ154" i="24" s="1"/>
  <c r="AI123" i="24"/>
  <c r="AI182" i="24"/>
  <c r="AJ182" i="24" s="1"/>
  <c r="AI122" i="24"/>
  <c r="AI184" i="24"/>
  <c r="AJ184" i="24" s="1"/>
  <c r="AI141" i="24"/>
  <c r="AJ141" i="24" s="1"/>
  <c r="AE42" i="24"/>
  <c r="AF42" i="24" s="1"/>
  <c r="W184" i="24"/>
  <c r="Y184" i="24" s="1"/>
  <c r="AI155" i="24"/>
  <c r="W72" i="24"/>
  <c r="Y72" i="24" s="1"/>
  <c r="X27" i="24"/>
  <c r="AA27" i="24" s="1"/>
  <c r="AB27" i="24" s="1"/>
  <c r="AC27" i="24" s="1"/>
  <c r="AJ27" i="24" s="1"/>
  <c r="X105" i="24"/>
  <c r="AA105" i="24" s="1"/>
  <c r="AB105" i="24" s="1"/>
  <c r="AC105" i="24" s="1"/>
  <c r="AJ105" i="24" s="1"/>
  <c r="X19" i="24"/>
  <c r="AA19" i="24" s="1"/>
  <c r="AB19" i="24" s="1"/>
  <c r="AC19" i="24" s="1"/>
  <c r="AE91" i="24"/>
  <c r="AF91" i="24" s="1"/>
  <c r="AI187" i="24"/>
  <c r="AI137" i="24"/>
  <c r="AJ137" i="24" s="1"/>
  <c r="AI115" i="24"/>
  <c r="W141" i="24"/>
  <c r="Y141" i="24" s="1"/>
  <c r="AE167" i="24"/>
  <c r="AF167" i="24" s="1"/>
  <c r="AE149" i="24"/>
  <c r="AF149" i="24" s="1"/>
  <c r="X21" i="24"/>
  <c r="AA21" i="24" s="1"/>
  <c r="AB21" i="24" s="1"/>
  <c r="AC21" i="24" s="1"/>
  <c r="X42" i="24"/>
  <c r="AA42" i="24" s="1"/>
  <c r="AB42" i="24" s="1"/>
  <c r="AC42" i="24" s="1"/>
  <c r="AJ42" i="24" s="1"/>
  <c r="AI79" i="24"/>
  <c r="W63" i="24"/>
  <c r="Y63" i="24" s="1"/>
  <c r="X79" i="24"/>
  <c r="AA79" i="24" s="1"/>
  <c r="AB79" i="24" s="1"/>
  <c r="AC79" i="24" s="1"/>
  <c r="X72" i="24"/>
  <c r="AA72" i="24" s="1"/>
  <c r="AB72" i="24" s="1"/>
  <c r="AC72" i="24" s="1"/>
  <c r="AI55" i="24"/>
  <c r="AI72" i="24"/>
  <c r="W83" i="24"/>
  <c r="Y83" i="24" s="1"/>
  <c r="W40" i="24"/>
  <c r="Y40" i="24" s="1"/>
  <c r="X55" i="24"/>
  <c r="AA55" i="24" s="1"/>
  <c r="AB55" i="24" s="1"/>
  <c r="AC55" i="24" s="1"/>
  <c r="W68" i="24"/>
  <c r="Y68" i="24" s="1"/>
  <c r="W23" i="24"/>
  <c r="Y23" i="24" s="1"/>
  <c r="W41" i="24"/>
  <c r="Y41" i="24" s="1"/>
  <c r="W69" i="24"/>
  <c r="Y69" i="24" s="1"/>
  <c r="X68" i="24"/>
  <c r="AA68" i="24" s="1"/>
  <c r="AB68" i="24" s="1"/>
  <c r="AC68" i="24" s="1"/>
  <c r="X51" i="24"/>
  <c r="AA51" i="24" s="1"/>
  <c r="AB51" i="24" s="1"/>
  <c r="AC51" i="24" s="1"/>
  <c r="X97" i="24"/>
  <c r="AA97" i="24" s="1"/>
  <c r="AB97" i="24" s="1"/>
  <c r="AC97" i="24" s="1"/>
  <c r="X28" i="24"/>
  <c r="AA28" i="24" s="1"/>
  <c r="AB28" i="24" s="1"/>
  <c r="AC28" i="24" s="1"/>
  <c r="AE86" i="24"/>
  <c r="AF86" i="24" s="1"/>
  <c r="AE85" i="24"/>
  <c r="AF85" i="24" s="1"/>
  <c r="X70" i="24"/>
  <c r="AA70" i="24" s="1"/>
  <c r="AB70" i="24" s="1"/>
  <c r="AC70" i="24" s="1"/>
  <c r="AJ70" i="24" s="1"/>
  <c r="AE32" i="24"/>
  <c r="AF32" i="24" s="1"/>
  <c r="X104" i="24"/>
  <c r="AA104" i="24" s="1"/>
  <c r="AB104" i="24" s="1"/>
  <c r="AC104" i="24" s="1"/>
  <c r="AJ104" i="24" s="1"/>
  <c r="W70" i="24"/>
  <c r="Y70" i="24" s="1"/>
  <c r="AI86" i="24"/>
  <c r="AJ86" i="24" s="1"/>
  <c r="AI33" i="24"/>
  <c r="AI41" i="24"/>
  <c r="AI28" i="24"/>
  <c r="AI19" i="24"/>
  <c r="AI51" i="24"/>
  <c r="AE33" i="24"/>
  <c r="AF33" i="24" s="1"/>
  <c r="AE14" i="24"/>
  <c r="AF14" i="24" s="1"/>
  <c r="X69" i="24"/>
  <c r="AA69" i="24" s="1"/>
  <c r="AB69" i="24" s="1"/>
  <c r="AC69" i="24" s="1"/>
  <c r="AJ69" i="24" s="1"/>
  <c r="AE23" i="24"/>
  <c r="AF23" i="24" s="1"/>
  <c r="X29" i="24"/>
  <c r="AA29" i="24" s="1"/>
  <c r="AB29" i="24" s="1"/>
  <c r="AC29" i="24" s="1"/>
  <c r="W51" i="24"/>
  <c r="Y51" i="24" s="1"/>
  <c r="AE53" i="24"/>
  <c r="AF53" i="24" s="1"/>
  <c r="AI29" i="24"/>
  <c r="AI85" i="24"/>
  <c r="AJ85" i="24" s="1"/>
  <c r="W29" i="24"/>
  <c r="Y29" i="24" s="1"/>
  <c r="W85" i="24"/>
  <c r="Y85" i="24" s="1"/>
  <c r="W28" i="24"/>
  <c r="Y28" i="24" s="1"/>
  <c r="W104" i="24"/>
  <c r="Y104" i="24" s="1"/>
  <c r="AE97" i="24"/>
  <c r="AF97" i="24" s="1"/>
  <c r="AE70" i="24"/>
  <c r="AF70" i="24" s="1"/>
  <c r="AE73" i="24"/>
  <c r="AI63" i="24"/>
  <c r="AI14" i="24"/>
  <c r="AJ14" i="24" s="1"/>
  <c r="AI59" i="24"/>
  <c r="AI91" i="24"/>
  <c r="AJ91" i="24" s="1"/>
  <c r="P100" i="24"/>
  <c r="W14" i="24"/>
  <c r="Y14" i="24" s="1"/>
  <c r="AE74" i="24"/>
  <c r="AI40" i="24"/>
  <c r="AI73" i="24"/>
  <c r="AJ73" i="24" s="1"/>
  <c r="AI82" i="24"/>
  <c r="P101" i="24"/>
  <c r="P32" i="24"/>
  <c r="W100" i="24"/>
  <c r="Y100" i="24" s="1"/>
  <c r="W59" i="24"/>
  <c r="Y59" i="24" s="1"/>
  <c r="AP32" i="24"/>
  <c r="AP25" i="24"/>
  <c r="AP86" i="24"/>
  <c r="X59" i="24"/>
  <c r="AA59" i="24" s="1"/>
  <c r="AB59" i="24" s="1"/>
  <c r="AC59" i="24" s="1"/>
  <c r="X82" i="24"/>
  <c r="AA82" i="24" s="1"/>
  <c r="AB82" i="24" s="1"/>
  <c r="AC82" i="24" s="1"/>
  <c r="W32" i="24"/>
  <c r="Y32" i="24" s="1"/>
  <c r="X23" i="24"/>
  <c r="AA23" i="24" s="1"/>
  <c r="AB23" i="24" s="1"/>
  <c r="AC23" i="24" s="1"/>
  <c r="AJ23" i="24" s="1"/>
  <c r="X32" i="24"/>
  <c r="AA32" i="24" s="1"/>
  <c r="AB32" i="24" s="1"/>
  <c r="AC32" i="24" s="1"/>
  <c r="AJ32" i="24" s="1"/>
  <c r="X63" i="24"/>
  <c r="AA63" i="24" s="1"/>
  <c r="AB63" i="24" s="1"/>
  <c r="AC63" i="24" s="1"/>
  <c r="W64" i="24"/>
  <c r="Y64" i="24" s="1"/>
  <c r="W91" i="24"/>
  <c r="Y91" i="24" s="1"/>
  <c r="W73" i="24"/>
  <c r="Y73" i="24" s="1"/>
  <c r="AP100" i="24"/>
  <c r="X64" i="24"/>
  <c r="AA64" i="24" s="1"/>
  <c r="AB64" i="24" s="1"/>
  <c r="AC64" i="24" s="1"/>
  <c r="P85" i="24"/>
  <c r="P25" i="24"/>
  <c r="P104" i="24"/>
  <c r="AP33" i="24"/>
  <c r="AP78" i="24"/>
  <c r="AP69" i="24"/>
  <c r="AP23" i="24"/>
  <c r="P69" i="24"/>
  <c r="P70" i="24"/>
  <c r="P97" i="24"/>
  <c r="Q92" i="24"/>
  <c r="R92" i="24" s="1"/>
  <c r="P74" i="24"/>
  <c r="Q74" i="24"/>
  <c r="R74" i="24" s="1"/>
  <c r="Q72" i="24"/>
  <c r="R72" i="24" s="1"/>
  <c r="P29" i="24"/>
  <c r="Q29" i="24"/>
  <c r="R29" i="24" s="1"/>
  <c r="Q56" i="24"/>
  <c r="R56" i="24" s="1"/>
  <c r="P14" i="24"/>
  <c r="Q14" i="24"/>
  <c r="R14" i="24" s="1"/>
  <c r="Q50" i="24"/>
  <c r="R50" i="24" s="1"/>
  <c r="Q31" i="24"/>
  <c r="R31" i="24" s="1"/>
  <c r="AP96" i="24"/>
  <c r="Q96" i="24"/>
  <c r="R96" i="24" s="1"/>
  <c r="P73" i="24"/>
  <c r="AP19" i="24"/>
  <c r="AP70" i="24"/>
  <c r="AP21" i="24"/>
  <c r="AP73" i="24"/>
  <c r="AP68" i="24"/>
  <c r="P23" i="24"/>
  <c r="P21" i="24"/>
  <c r="Q91" i="24"/>
  <c r="R91" i="24" s="1"/>
  <c r="P83" i="24"/>
  <c r="Q83" i="24"/>
  <c r="R83" i="24" s="1"/>
  <c r="P36" i="24"/>
  <c r="Q36" i="24"/>
  <c r="R36" i="24" s="1"/>
  <c r="Q89" i="24"/>
  <c r="R89" i="24" s="1"/>
  <c r="AP82" i="24"/>
  <c r="Q82" i="24"/>
  <c r="R82" i="24" s="1"/>
  <c r="P18" i="24"/>
  <c r="Q18" i="24"/>
  <c r="R18" i="24" s="1"/>
  <c r="Q60" i="24"/>
  <c r="R60" i="24" s="1"/>
  <c r="Q42" i="24"/>
  <c r="R42" i="24" s="1"/>
  <c r="Q40" i="24"/>
  <c r="R40" i="24" s="1"/>
  <c r="Q87" i="24"/>
  <c r="R87" i="24" s="1"/>
  <c r="P46" i="24"/>
  <c r="Q46" i="24"/>
  <c r="R46" i="24" s="1"/>
  <c r="P87" i="24"/>
  <c r="P60" i="24"/>
  <c r="P42" i="24"/>
  <c r="P40" i="24"/>
  <c r="P91" i="24"/>
  <c r="J93" i="24"/>
  <c r="W93" i="24" s="1"/>
  <c r="Y93" i="24" s="1"/>
  <c r="Q93" i="24"/>
  <c r="R93" i="24" s="1"/>
  <c r="J80" i="24"/>
  <c r="J35" i="24"/>
  <c r="AI35" i="24" s="1"/>
  <c r="Q35" i="24"/>
  <c r="R35" i="24" s="1"/>
  <c r="J34" i="24"/>
  <c r="AI34" i="24" s="1"/>
  <c r="Q34" i="24"/>
  <c r="R34" i="24" s="1"/>
  <c r="J94" i="24"/>
  <c r="AE94" i="24" s="1"/>
  <c r="AF94" i="24" s="1"/>
  <c r="Q94" i="24"/>
  <c r="R94" i="24" s="1"/>
  <c r="J76" i="24"/>
  <c r="J81" i="24"/>
  <c r="AE81" i="24" s="1"/>
  <c r="AF81" i="24" s="1"/>
  <c r="Q81" i="24"/>
  <c r="R81" i="24" s="1"/>
  <c r="J66" i="24"/>
  <c r="Q66" i="24"/>
  <c r="R66" i="24" s="1"/>
  <c r="J16" i="24"/>
  <c r="W16" i="24" s="1"/>
  <c r="Y16" i="24" s="1"/>
  <c r="P16" i="24"/>
  <c r="J99" i="24"/>
  <c r="AI99" i="24" s="1"/>
  <c r="J17" i="24"/>
  <c r="AP17" i="24"/>
  <c r="J48" i="24"/>
  <c r="W48" i="24" s="1"/>
  <c r="Y48" i="24" s="1"/>
  <c r="Q48" i="24"/>
  <c r="R48" i="24" s="1"/>
  <c r="AP31" i="24"/>
  <c r="J49" i="24"/>
  <c r="AI49" i="24" s="1"/>
  <c r="Q49" i="24"/>
  <c r="R49" i="24" s="1"/>
  <c r="J20" i="24"/>
  <c r="Q20" i="24"/>
  <c r="R20" i="24" s="1"/>
  <c r="J77" i="24"/>
  <c r="AP77" i="24"/>
  <c r="J47" i="24"/>
  <c r="AI47" i="24" s="1"/>
  <c r="J67" i="24"/>
  <c r="P67" i="24"/>
  <c r="J24" i="24"/>
  <c r="Q24" i="24"/>
  <c r="R24" i="24" s="1"/>
  <c r="J8" i="24"/>
  <c r="X8" i="24" s="1"/>
  <c r="AA8" i="24" s="1"/>
  <c r="AB8" i="24" s="1"/>
  <c r="AC8" i="24" s="1"/>
  <c r="Q8" i="24"/>
  <c r="R8" i="24" s="1"/>
  <c r="J90" i="24"/>
  <c r="J88" i="24"/>
  <c r="X88" i="24" s="1"/>
  <c r="AA88" i="24" s="1"/>
  <c r="AB88" i="24" s="1"/>
  <c r="AC88" i="24" s="1"/>
  <c r="P88" i="24"/>
  <c r="P72" i="24"/>
  <c r="P96" i="24"/>
  <c r="AP14" i="24"/>
  <c r="AP92" i="24"/>
  <c r="AP74" i="24"/>
  <c r="AP29" i="24"/>
  <c r="P92" i="24"/>
  <c r="J45" i="24"/>
  <c r="J62" i="24"/>
  <c r="J22" i="24"/>
  <c r="W22" i="24" s="1"/>
  <c r="Y22" i="24" s="1"/>
  <c r="J26" i="24"/>
  <c r="W26" i="24" s="1"/>
  <c r="Y26" i="24" s="1"/>
  <c r="J52" i="24"/>
  <c r="J13" i="24"/>
  <c r="X13" i="24" s="1"/>
  <c r="AA13" i="24" s="1"/>
  <c r="AB13" i="24" s="1"/>
  <c r="AC13" i="24" s="1"/>
  <c r="J15" i="24"/>
  <c r="AI15" i="24" s="1"/>
  <c r="J84" i="24"/>
  <c r="Q84" i="24"/>
  <c r="J9" i="24"/>
  <c r="J37" i="24"/>
  <c r="AI37" i="24" s="1"/>
  <c r="AP37" i="24"/>
  <c r="J38" i="24"/>
  <c r="J39" i="24"/>
  <c r="AP39" i="24"/>
  <c r="J30" i="24"/>
  <c r="Q30" i="24"/>
  <c r="R30" i="24" s="1"/>
  <c r="P31" i="24"/>
  <c r="J12" i="24"/>
  <c r="W12" i="24" s="1"/>
  <c r="Y12" i="24" s="1"/>
  <c r="J65" i="24"/>
  <c r="AI65" i="24" s="1"/>
  <c r="J11" i="24"/>
  <c r="AI11" i="24" s="1"/>
  <c r="J102" i="24"/>
  <c r="AI102" i="24" s="1"/>
  <c r="J71" i="24"/>
  <c r="W71" i="24" s="1"/>
  <c r="Y71" i="24" s="1"/>
  <c r="J44" i="24"/>
  <c r="AE44" i="24" s="1"/>
  <c r="AF44" i="24" s="1"/>
  <c r="J43" i="24"/>
  <c r="X43" i="24" s="1"/>
  <c r="AA43" i="24" s="1"/>
  <c r="AB43" i="24" s="1"/>
  <c r="AC43" i="24" s="1"/>
  <c r="J103" i="24"/>
  <c r="J58" i="24"/>
  <c r="AI58" i="24" s="1"/>
  <c r="J75" i="24"/>
  <c r="J57" i="24"/>
  <c r="J61" i="24"/>
  <c r="X61" i="24" s="1"/>
  <c r="AA61" i="24" s="1"/>
  <c r="AB61" i="24" s="1"/>
  <c r="AC61" i="24" s="1"/>
  <c r="J98" i="24"/>
  <c r="J6" i="24"/>
  <c r="X6" i="24" s="1"/>
  <c r="AA6" i="24" s="1"/>
  <c r="AB6" i="24" s="1"/>
  <c r="AC6" i="24" s="1"/>
  <c r="J7" i="24"/>
  <c r="AP7" i="24"/>
  <c r="P55" i="24"/>
  <c r="R55" i="24"/>
  <c r="P33" i="24"/>
  <c r="R33" i="24"/>
  <c r="AP76" i="24"/>
  <c r="AP85" i="24"/>
  <c r="R97" i="24"/>
  <c r="AP89" i="24"/>
  <c r="R105" i="24"/>
  <c r="P105" i="24"/>
  <c r="R19" i="24"/>
  <c r="P19" i="24"/>
  <c r="P82" i="24"/>
  <c r="AP97" i="24"/>
  <c r="P86" i="24"/>
  <c r="R86" i="24"/>
  <c r="P54" i="24"/>
  <c r="R54" i="24"/>
  <c r="P20" i="24"/>
  <c r="AP95" i="24"/>
  <c r="P95" i="24"/>
  <c r="P80" i="24"/>
  <c r="P15" i="24"/>
  <c r="AP15" i="24"/>
  <c r="P24" i="24"/>
  <c r="AP24" i="24"/>
  <c r="P50" i="24"/>
  <c r="P47" i="24"/>
  <c r="P9" i="24"/>
  <c r="P90" i="24"/>
  <c r="P17" i="24"/>
  <c r="P38" i="24"/>
  <c r="P30" i="24"/>
  <c r="AP9" i="24"/>
  <c r="AP98" i="24"/>
  <c r="AP50" i="24"/>
  <c r="R51" i="24"/>
  <c r="P51" i="24"/>
  <c r="P59" i="24"/>
  <c r="R59" i="24"/>
  <c r="P89" i="24"/>
  <c r="P76" i="24"/>
  <c r="P66" i="24"/>
  <c r="AP51" i="24"/>
  <c r="AP58" i="24"/>
  <c r="AP66" i="24"/>
  <c r="AP47" i="24"/>
  <c r="AP38" i="24"/>
  <c r="P34" i="24"/>
  <c r="P99" i="24"/>
  <c r="P61" i="24"/>
  <c r="P37" i="24"/>
  <c r="P48" i="24"/>
  <c r="P56" i="24"/>
  <c r="AI64" i="24"/>
  <c r="AE110" i="24"/>
  <c r="AI110" i="24"/>
  <c r="AJ110" i="24" s="1"/>
  <c r="W110" i="24"/>
  <c r="Y110" i="24" s="1"/>
  <c r="CD300" i="24"/>
  <c r="CD277" i="24"/>
  <c r="CE220" i="25"/>
  <c r="CE265" i="25"/>
  <c r="CE227" i="25"/>
  <c r="CD232" i="24"/>
  <c r="CE230" i="25"/>
  <c r="CE268" i="25"/>
  <c r="CE234" i="25"/>
  <c r="CE223" i="25"/>
  <c r="CE231" i="25"/>
  <c r="CE253" i="25"/>
  <c r="CE254" i="25"/>
  <c r="CE233" i="25"/>
  <c r="CE222" i="25"/>
  <c r="CE250" i="25"/>
  <c r="CE247" i="25"/>
  <c r="CE256" i="25"/>
  <c r="CE228" i="25"/>
  <c r="CE259" i="25"/>
  <c r="CE252" i="25"/>
  <c r="AJ5" i="24"/>
  <c r="CE239" i="25"/>
  <c r="CE299" i="25"/>
  <c r="CE221" i="25"/>
  <c r="CE224" i="25"/>
  <c r="CE225" i="25"/>
  <c r="CE273" i="25"/>
  <c r="CD259" i="24"/>
  <c r="CD227" i="24"/>
  <c r="CD230" i="24"/>
  <c r="CD248" i="24"/>
  <c r="CD240" i="24"/>
  <c r="V110" i="25"/>
  <c r="X110" i="25" s="1"/>
  <c r="AG5" i="24"/>
  <c r="AN5" i="24" s="1"/>
  <c r="CD313" i="24"/>
  <c r="CD223" i="24"/>
  <c r="CD236" i="24"/>
  <c r="CD221" i="24"/>
  <c r="CD243" i="24"/>
  <c r="CD264" i="24"/>
  <c r="CD317" i="24"/>
  <c r="CD219" i="24"/>
  <c r="CD309" i="24"/>
  <c r="CD267" i="24"/>
  <c r="CD226" i="24"/>
  <c r="CD293" i="24"/>
  <c r="CD265" i="24"/>
  <c r="CD238" i="24"/>
  <c r="CD222" i="24"/>
  <c r="CD273" i="24"/>
  <c r="CD297" i="24"/>
  <c r="CD255" i="24"/>
  <c r="CD239" i="24"/>
  <c r="CD249" i="24"/>
  <c r="CD233" i="24"/>
  <c r="CD229" i="24"/>
  <c r="CD225" i="24"/>
  <c r="CD285" i="24"/>
  <c r="CD282" i="24"/>
  <c r="CD302" i="24"/>
  <c r="CD263" i="24"/>
  <c r="CD224" i="24"/>
  <c r="W110" i="25"/>
  <c r="Z110" i="25" s="1"/>
  <c r="AA110" i="25" s="1"/>
  <c r="AB110" i="25" s="1"/>
  <c r="AI110" i="25" s="1"/>
  <c r="V5" i="25"/>
  <c r="X5" i="25" s="1"/>
  <c r="CE24" i="25"/>
  <c r="CE10" i="25"/>
  <c r="CE19" i="25"/>
  <c r="CE15" i="25"/>
  <c r="CE30" i="25"/>
  <c r="CE13" i="25"/>
  <c r="CE16" i="25"/>
  <c r="CE8" i="25"/>
  <c r="W5" i="25"/>
  <c r="CE34" i="25"/>
  <c r="CE22" i="25"/>
  <c r="CE27" i="25"/>
  <c r="CE57" i="25"/>
  <c r="CE11" i="25"/>
  <c r="CE23" i="25"/>
  <c r="CE88" i="25"/>
  <c r="CE28" i="25"/>
  <c r="CE9" i="25"/>
  <c r="CE7" i="25"/>
  <c r="CE5" i="25"/>
  <c r="AF302" i="25"/>
  <c r="AF173" i="25"/>
  <c r="AF317" i="25"/>
  <c r="AF117" i="25"/>
  <c r="AF142" i="25"/>
  <c r="AF220" i="25"/>
  <c r="AF157" i="25"/>
  <c r="AF203" i="25"/>
  <c r="AF293" i="25"/>
  <c r="AF289" i="25"/>
  <c r="AF191" i="25"/>
  <c r="AF305" i="25"/>
  <c r="AF130" i="25"/>
  <c r="AF301" i="25"/>
  <c r="AF288" i="25"/>
  <c r="AF249" i="25"/>
  <c r="AF188" i="25"/>
  <c r="AF281" i="25"/>
  <c r="AF136" i="25"/>
  <c r="AF152" i="25"/>
  <c r="AF315" i="25"/>
  <c r="AF261" i="25"/>
  <c r="AF258" i="25"/>
  <c r="AF286" i="25"/>
  <c r="AF265" i="25"/>
  <c r="AF304" i="25"/>
  <c r="AF314" i="25"/>
  <c r="AF227" i="25"/>
  <c r="AF273" i="25"/>
  <c r="AF224" i="25"/>
  <c r="AF219" i="25"/>
  <c r="AF199" i="25"/>
  <c r="AF318" i="25"/>
  <c r="AF295" i="25"/>
  <c r="AF283" i="25"/>
  <c r="AF243" i="25"/>
  <c r="AF270" i="25"/>
  <c r="AF236" i="25"/>
  <c r="AF268" i="25"/>
  <c r="AF246" i="25"/>
  <c r="AF287" i="25"/>
  <c r="AF275" i="25"/>
  <c r="AF239" i="25"/>
  <c r="AF278" i="25"/>
  <c r="AF160" i="25"/>
  <c r="AF192" i="25"/>
  <c r="AF312" i="25"/>
  <c r="AF316" i="25"/>
  <c r="AF269" i="25"/>
  <c r="AF233" i="25"/>
  <c r="AF247" i="25"/>
  <c r="AF308" i="25"/>
  <c r="AF307" i="25"/>
  <c r="AF38" i="25"/>
  <c r="AF248" i="25"/>
  <c r="AF241" i="25"/>
  <c r="AF24" i="25"/>
  <c r="AF262" i="25"/>
  <c r="AF169" i="25"/>
  <c r="AF218" i="25"/>
  <c r="AF225" i="25"/>
  <c r="AF250" i="25"/>
  <c r="AF155" i="25"/>
  <c r="AF138" i="25"/>
  <c r="AF170" i="25"/>
  <c r="AF259" i="25"/>
  <c r="AF285" i="25"/>
  <c r="AF245" i="25"/>
  <c r="AF276" i="25"/>
  <c r="AF299" i="25"/>
  <c r="AF310" i="25"/>
  <c r="AF112" i="25"/>
  <c r="AF226" i="25"/>
  <c r="AF235" i="25"/>
  <c r="AF189" i="25"/>
  <c r="AF251" i="25"/>
  <c r="AF129" i="25"/>
  <c r="AF161" i="25"/>
  <c r="AF182" i="25"/>
  <c r="AF267" i="25"/>
  <c r="AF171" i="25"/>
  <c r="AF294" i="25"/>
  <c r="AF195" i="25"/>
  <c r="AF284" i="25"/>
  <c r="AF291" i="25"/>
  <c r="AF234" i="25"/>
  <c r="AF240" i="25"/>
  <c r="AF121" i="25"/>
  <c r="AF190" i="25"/>
  <c r="AF88" i="25"/>
  <c r="AF232" i="25"/>
  <c r="AF135" i="25"/>
  <c r="AF306" i="25"/>
  <c r="AF303" i="25"/>
  <c r="AF223" i="25"/>
  <c r="AF115" i="25"/>
  <c r="AF178" i="25"/>
  <c r="AF46" i="25"/>
  <c r="AF252" i="25"/>
  <c r="AF222" i="25"/>
  <c r="AF119" i="25"/>
  <c r="AF153" i="25"/>
  <c r="AF300" i="25"/>
  <c r="AF263" i="25"/>
  <c r="AF279" i="25"/>
  <c r="AF140" i="25"/>
  <c r="AF111" i="25"/>
  <c r="AF309" i="25"/>
  <c r="AF116" i="25"/>
  <c r="AF231" i="25"/>
  <c r="AF174" i="25"/>
  <c r="AF205" i="25"/>
  <c r="AF277" i="25"/>
  <c r="AF165" i="25"/>
  <c r="AF280" i="25"/>
  <c r="AF175" i="25"/>
  <c r="AF163" i="25"/>
  <c r="AF39" i="25"/>
  <c r="AF65" i="25"/>
  <c r="AF33" i="25"/>
  <c r="AF19" i="25"/>
  <c r="AF53" i="25"/>
  <c r="AF94" i="25"/>
  <c r="AF102" i="25"/>
  <c r="AF69" i="25"/>
  <c r="AF28" i="25"/>
  <c r="AF79" i="25"/>
  <c r="AF29" i="25"/>
  <c r="AF85" i="25"/>
  <c r="AF41" i="25"/>
  <c r="AF75" i="25"/>
  <c r="AF91" i="25"/>
  <c r="AF95" i="25"/>
  <c r="AF16" i="25"/>
  <c r="AF93" i="25"/>
  <c r="AF97" i="25"/>
  <c r="AF101" i="25"/>
  <c r="AF105" i="25"/>
  <c r="AF45" i="25"/>
  <c r="AF58" i="25"/>
  <c r="AF43" i="25"/>
  <c r="AF56" i="25"/>
  <c r="AF86" i="25"/>
  <c r="AF13" i="25"/>
  <c r="AF71" i="25"/>
  <c r="AF72" i="25"/>
  <c r="AF87" i="25"/>
  <c r="AF21" i="25"/>
  <c r="AF98" i="25"/>
  <c r="AF89" i="25"/>
  <c r="AF6" i="25"/>
  <c r="AF10" i="25"/>
  <c r="AF61" i="25"/>
  <c r="AF15" i="25"/>
  <c r="AF67" i="25"/>
  <c r="AF54" i="25"/>
  <c r="AF26" i="25"/>
  <c r="AF32" i="25"/>
  <c r="AF103" i="25"/>
  <c r="AF81" i="25"/>
  <c r="AF99" i="25"/>
  <c r="AF37" i="25"/>
  <c r="AF20" i="25"/>
  <c r="AF70" i="25"/>
  <c r="AF74" i="25"/>
  <c r="AF18" i="25"/>
  <c r="AF42" i="25"/>
  <c r="AF48" i="25"/>
  <c r="AF80" i="25"/>
  <c r="AF78" i="25"/>
  <c r="AF27" i="25"/>
  <c r="AF47" i="25"/>
  <c r="AF63" i="25"/>
  <c r="AF57" i="25"/>
  <c r="AF73" i="25"/>
  <c r="AF31" i="25"/>
  <c r="AF51" i="25"/>
  <c r="AF92" i="25"/>
  <c r="AF104" i="25"/>
  <c r="AF52" i="25"/>
  <c r="AF82" i="25"/>
  <c r="AF60" i="25"/>
  <c r="AF90" i="25"/>
  <c r="AF66" i="25"/>
  <c r="AF76" i="25"/>
  <c r="AF30" i="25"/>
  <c r="AF8" i="25"/>
  <c r="AF17" i="25"/>
  <c r="AF34" i="25"/>
  <c r="AF23" i="25"/>
  <c r="AF50" i="25"/>
  <c r="AF59" i="25"/>
  <c r="AF44" i="25"/>
  <c r="AF40" i="25"/>
  <c r="AF22" i="25"/>
  <c r="AF35" i="25"/>
  <c r="AF12" i="25"/>
  <c r="AF64" i="25"/>
  <c r="AF62" i="25"/>
  <c r="AF14" i="25"/>
  <c r="AF25" i="25"/>
  <c r="AF77" i="25"/>
  <c r="AF7" i="25"/>
  <c r="AF11" i="25"/>
  <c r="AF83" i="25"/>
  <c r="AF49" i="25"/>
  <c r="AF84" i="25"/>
  <c r="AF55" i="25"/>
  <c r="AF96" i="25"/>
  <c r="AF100" i="25"/>
  <c r="AF9" i="25"/>
  <c r="AF36" i="25"/>
  <c r="AF68" i="25"/>
  <c r="AB279" i="25"/>
  <c r="AI279" i="25" s="1"/>
  <c r="AS279" i="25" s="1"/>
  <c r="AB234" i="25"/>
  <c r="AI234" i="25" s="1"/>
  <c r="AS234" i="25" s="1"/>
  <c r="AB240" i="25"/>
  <c r="AI240" i="25" s="1"/>
  <c r="AS240" i="25" s="1"/>
  <c r="AB122" i="25"/>
  <c r="AI122" i="25" s="1"/>
  <c r="AB296" i="25"/>
  <c r="AI296" i="25" s="1"/>
  <c r="AS296" i="25" s="1"/>
  <c r="AB117" i="25"/>
  <c r="AI117" i="25" s="1"/>
  <c r="AB245" i="25"/>
  <c r="AI245" i="25" s="1"/>
  <c r="AS245" i="25" s="1"/>
  <c r="AB303" i="25"/>
  <c r="AI303" i="25" s="1"/>
  <c r="AS303" i="25" s="1"/>
  <c r="AB261" i="25"/>
  <c r="AI261" i="25" s="1"/>
  <c r="AS261" i="25" s="1"/>
  <c r="AB112" i="25"/>
  <c r="AI112" i="25" s="1"/>
  <c r="AB128" i="25"/>
  <c r="AI128" i="25" s="1"/>
  <c r="AB144" i="25"/>
  <c r="AI144" i="25" s="1"/>
  <c r="AB160" i="25"/>
  <c r="AI160" i="25" s="1"/>
  <c r="AB231" i="25"/>
  <c r="AI231" i="25" s="1"/>
  <c r="AS231" i="25" s="1"/>
  <c r="AB289" i="25"/>
  <c r="AI289" i="25" s="1"/>
  <c r="AS289" i="25" s="1"/>
  <c r="AB159" i="25"/>
  <c r="AI159" i="25" s="1"/>
  <c r="AB191" i="25"/>
  <c r="AI191" i="25" s="1"/>
  <c r="AB251" i="25"/>
  <c r="AI251" i="25" s="1"/>
  <c r="AS251" i="25" s="1"/>
  <c r="AB193" i="25"/>
  <c r="AI193" i="25" s="1"/>
  <c r="AB252" i="25"/>
  <c r="AI252" i="25" s="1"/>
  <c r="AS252" i="25" s="1"/>
  <c r="AB313" i="25"/>
  <c r="AI313" i="25" s="1"/>
  <c r="AS313" i="25" s="1"/>
  <c r="AB262" i="25"/>
  <c r="AI262" i="25" s="1"/>
  <c r="AS262" i="25" s="1"/>
  <c r="AB224" i="25"/>
  <c r="AI224" i="25" s="1"/>
  <c r="AS224" i="25" s="1"/>
  <c r="AB266" i="25"/>
  <c r="AI266" i="25" s="1"/>
  <c r="AS266" i="25" s="1"/>
  <c r="AB247" i="25"/>
  <c r="AI247" i="25" s="1"/>
  <c r="AS247" i="25" s="1"/>
  <c r="AB192" i="25"/>
  <c r="AI192" i="25" s="1"/>
  <c r="AB309" i="25"/>
  <c r="AI309" i="25" s="1"/>
  <c r="AS309" i="25" s="1"/>
  <c r="AB116" i="25"/>
  <c r="AI116" i="25" s="1"/>
  <c r="AB246" i="25"/>
  <c r="AI246" i="25" s="1"/>
  <c r="AS246" i="25" s="1"/>
  <c r="AB304" i="25"/>
  <c r="AI304" i="25" s="1"/>
  <c r="AS304" i="25" s="1"/>
  <c r="AB241" i="25"/>
  <c r="AI241" i="25" s="1"/>
  <c r="AS241" i="25" s="1"/>
  <c r="AB119" i="25"/>
  <c r="AI119" i="25" s="1"/>
  <c r="AB315" i="25"/>
  <c r="AI315" i="25" s="1"/>
  <c r="AS315" i="25" s="1"/>
  <c r="AB269" i="25"/>
  <c r="AI269" i="25" s="1"/>
  <c r="AS269" i="25" s="1"/>
  <c r="AB250" i="25"/>
  <c r="AI250" i="25" s="1"/>
  <c r="AS250" i="25" s="1"/>
  <c r="AB155" i="25"/>
  <c r="AI155" i="25" s="1"/>
  <c r="AB302" i="25"/>
  <c r="AI302" i="25" s="1"/>
  <c r="AS302" i="25" s="1"/>
  <c r="AB190" i="25"/>
  <c r="AI190" i="25" s="1"/>
  <c r="AB295" i="25"/>
  <c r="AI295" i="25" s="1"/>
  <c r="AS295" i="25" s="1"/>
  <c r="AB141" i="25"/>
  <c r="AI141" i="25" s="1"/>
  <c r="AB306" i="25"/>
  <c r="AI306" i="25" s="1"/>
  <c r="AS306" i="25" s="1"/>
  <c r="AB233" i="25"/>
  <c r="AI233" i="25" s="1"/>
  <c r="AS233" i="25" s="1"/>
  <c r="AB149" i="25"/>
  <c r="AI149" i="25" s="1"/>
  <c r="AB244" i="25"/>
  <c r="AI244" i="25" s="1"/>
  <c r="AS244" i="25" s="1"/>
  <c r="AB220" i="25"/>
  <c r="AI220" i="25" s="1"/>
  <c r="AS220" i="25" s="1"/>
  <c r="AB260" i="25"/>
  <c r="AI260" i="25" s="1"/>
  <c r="AS260" i="25" s="1"/>
  <c r="AB223" i="25"/>
  <c r="AI223" i="25" s="1"/>
  <c r="AS223" i="25" s="1"/>
  <c r="AB136" i="25"/>
  <c r="AI136" i="25" s="1"/>
  <c r="AB152" i="25"/>
  <c r="AI152" i="25" s="1"/>
  <c r="AB238" i="25"/>
  <c r="AI238" i="25" s="1"/>
  <c r="AS238" i="25" s="1"/>
  <c r="AB270" i="25"/>
  <c r="AI270" i="25" s="1"/>
  <c r="AS270" i="25" s="1"/>
  <c r="AB235" i="25"/>
  <c r="AI235" i="25" s="1"/>
  <c r="AS235" i="25" s="1"/>
  <c r="AB265" i="25"/>
  <c r="AI265" i="25" s="1"/>
  <c r="AS265" i="25" s="1"/>
  <c r="AB275" i="25"/>
  <c r="AI275" i="25" s="1"/>
  <c r="AS275" i="25" s="1"/>
  <c r="AB161" i="25"/>
  <c r="AI161" i="25" s="1"/>
  <c r="AB176" i="25"/>
  <c r="AI176" i="25" s="1"/>
  <c r="AB130" i="25"/>
  <c r="AI130" i="25" s="1"/>
  <c r="AB301" i="25"/>
  <c r="AI301" i="25" s="1"/>
  <c r="AS301" i="25" s="1"/>
  <c r="AB163" i="25"/>
  <c r="AI163" i="25" s="1"/>
  <c r="AB225" i="25"/>
  <c r="AI225" i="25" s="1"/>
  <c r="AS225" i="25" s="1"/>
  <c r="AB283" i="25"/>
  <c r="AI283" i="25" s="1"/>
  <c r="AS283" i="25" s="1"/>
  <c r="AB299" i="25"/>
  <c r="AI299" i="25" s="1"/>
  <c r="AS299" i="25" s="1"/>
  <c r="AB307" i="25"/>
  <c r="AI307" i="25" s="1"/>
  <c r="AS307" i="25" s="1"/>
  <c r="AB236" i="25"/>
  <c r="AI236" i="25" s="1"/>
  <c r="AS236" i="25" s="1"/>
  <c r="AB268" i="25"/>
  <c r="AI268" i="25" s="1"/>
  <c r="AS268" i="25" s="1"/>
  <c r="AB174" i="25"/>
  <c r="AI174" i="25" s="1"/>
  <c r="AB248" i="25"/>
  <c r="AI248" i="25" s="1"/>
  <c r="AS248" i="25" s="1"/>
  <c r="AB287" i="25"/>
  <c r="AI287" i="25" s="1"/>
  <c r="AS287" i="25" s="1"/>
  <c r="AB239" i="25"/>
  <c r="AI239" i="25" s="1"/>
  <c r="AS239" i="25" s="1"/>
  <c r="AB305" i="25"/>
  <c r="AI305" i="25" s="1"/>
  <c r="AS305" i="25" s="1"/>
  <c r="AB227" i="25"/>
  <c r="AI227" i="25" s="1"/>
  <c r="AS227" i="25" s="1"/>
  <c r="AI70" i="25"/>
  <c r="AI69" i="25"/>
  <c r="AI64" i="25"/>
  <c r="AI11" i="25"/>
  <c r="AI61" i="25"/>
  <c r="AI31" i="25"/>
  <c r="AI51" i="25"/>
  <c r="AI81" i="25"/>
  <c r="AI93" i="25"/>
  <c r="AI97" i="25"/>
  <c r="AI101" i="25"/>
  <c r="AI105" i="25"/>
  <c r="AI86" i="25"/>
  <c r="AI71" i="25"/>
  <c r="AI42" i="25"/>
  <c r="AI28" i="25"/>
  <c r="AI62" i="25"/>
  <c r="AI15" i="25"/>
  <c r="AI67" i="25"/>
  <c r="AI103" i="25"/>
  <c r="AI96" i="25"/>
  <c r="AI100" i="25"/>
  <c r="AI8" i="25"/>
  <c r="AI30" i="25"/>
  <c r="AI20" i="25"/>
  <c r="AI59" i="25"/>
  <c r="AI21" i="25"/>
  <c r="AI48" i="25"/>
  <c r="AI79" i="25"/>
  <c r="AI83" i="25"/>
  <c r="AI41" i="25"/>
  <c r="AI17" i="25"/>
  <c r="AI88" i="25"/>
  <c r="AI53" i="25"/>
  <c r="AI94" i="25"/>
  <c r="AI102" i="25"/>
  <c r="AI22" i="25"/>
  <c r="AI35" i="25"/>
  <c r="AI78" i="25"/>
  <c r="AI27" i="25"/>
  <c r="AI47" i="25"/>
  <c r="AI63" i="25"/>
  <c r="AI92" i="25"/>
  <c r="AI104" i="25"/>
  <c r="AI9" i="25"/>
  <c r="AI52" i="25"/>
  <c r="AI218" i="25"/>
  <c r="AS218" i="25" s="1"/>
  <c r="X76" i="25"/>
  <c r="X73" i="25"/>
  <c r="X75" i="25"/>
  <c r="X111" i="25"/>
  <c r="X318" i="25"/>
  <c r="X45" i="25"/>
  <c r="X86" i="25"/>
  <c r="AI199" i="25"/>
  <c r="X50" i="25"/>
  <c r="X19" i="25"/>
  <c r="X301" i="25"/>
  <c r="AI280" i="25"/>
  <c r="AS280" i="25" s="1"/>
  <c r="AI138" i="25"/>
  <c r="X125" i="25"/>
  <c r="X227" i="25"/>
  <c r="X72" i="25"/>
  <c r="X33" i="25"/>
  <c r="X17" i="25"/>
  <c r="X23" i="25"/>
  <c r="X98" i="25"/>
  <c r="X20" i="25"/>
  <c r="X279" i="25"/>
  <c r="X172" i="25"/>
  <c r="X44" i="25"/>
  <c r="X196" i="25"/>
  <c r="X79" i="25"/>
  <c r="X24" i="25"/>
  <c r="X60" i="25"/>
  <c r="X49" i="25"/>
  <c r="X271" i="25"/>
  <c r="X302" i="25"/>
  <c r="X18" i="25"/>
  <c r="X99" i="25"/>
  <c r="X83" i="25"/>
  <c r="X179" i="25"/>
  <c r="X136" i="25"/>
  <c r="X41" i="25"/>
  <c r="X81" i="25"/>
  <c r="X29" i="25"/>
  <c r="X85" i="25"/>
  <c r="X31" i="25"/>
  <c r="X96" i="25"/>
  <c r="X104" i="25"/>
  <c r="X315" i="25"/>
  <c r="AI196" i="25"/>
  <c r="X52" i="25"/>
  <c r="X84" i="25"/>
  <c r="X152" i="25"/>
  <c r="X182" i="25"/>
  <c r="X149" i="25"/>
  <c r="X46" i="25"/>
  <c r="X68" i="25"/>
  <c r="X82" i="25"/>
  <c r="X70" i="25"/>
  <c r="X209" i="25"/>
  <c r="X317" i="25"/>
  <c r="X54" i="25"/>
  <c r="X16" i="25"/>
  <c r="X32" i="25"/>
  <c r="X67" i="25"/>
  <c r="X200" i="25"/>
  <c r="AI314" i="25"/>
  <c r="AS314" i="25" s="1"/>
  <c r="AI312" i="25"/>
  <c r="AS312" i="25" s="1"/>
  <c r="AI24" i="25"/>
  <c r="X57" i="25"/>
  <c r="X61" i="25"/>
  <c r="X92" i="25"/>
  <c r="X100" i="25"/>
  <c r="AI36" i="25"/>
  <c r="AI68" i="25"/>
  <c r="AI76" i="25"/>
  <c r="X290" i="25"/>
  <c r="AI14" i="25"/>
  <c r="X226" i="25"/>
  <c r="X286" i="25"/>
  <c r="AI38" i="25"/>
  <c r="AI54" i="25"/>
  <c r="AI277" i="25"/>
  <c r="AS277" i="25" s="1"/>
  <c r="AI82" i="25"/>
  <c r="X238" i="25"/>
  <c r="X265" i="25"/>
  <c r="AI168" i="25"/>
  <c r="AI156" i="25"/>
  <c r="AI132" i="25"/>
  <c r="AI37" i="25"/>
  <c r="AI56" i="25"/>
  <c r="AI281" i="25"/>
  <c r="AS281" i="25" s="1"/>
  <c r="AI44" i="25"/>
  <c r="AI276" i="25"/>
  <c r="AS276" i="25" s="1"/>
  <c r="AI6" i="25"/>
  <c r="AI300" i="25"/>
  <c r="AS300" i="25" s="1"/>
  <c r="X87" i="25"/>
  <c r="X183" i="25"/>
  <c r="AI135" i="25"/>
  <c r="X310" i="25"/>
  <c r="X121" i="25"/>
  <c r="X155" i="25"/>
  <c r="X37" i="25"/>
  <c r="X123" i="25"/>
  <c r="X180" i="25"/>
  <c r="AI87" i="25"/>
  <c r="X189" i="25"/>
  <c r="AI142" i="25"/>
  <c r="X260" i="25"/>
  <c r="X247" i="25"/>
  <c r="X12" i="25"/>
  <c r="X43" i="25"/>
  <c r="X233" i="25"/>
  <c r="X245" i="25"/>
  <c r="X303" i="25"/>
  <c r="X22" i="25"/>
  <c r="X42" i="25"/>
  <c r="X78" i="25"/>
  <c r="X115" i="25"/>
  <c r="AI290" i="25"/>
  <c r="AS290" i="25" s="1"/>
  <c r="AI115" i="25"/>
  <c r="X168" i="25"/>
  <c r="X178" i="25"/>
  <c r="AI273" i="25"/>
  <c r="AS273" i="25" s="1"/>
  <c r="X7" i="25"/>
  <c r="X11" i="25"/>
  <c r="AI29" i="25"/>
  <c r="X275" i="25"/>
  <c r="X309" i="25"/>
  <c r="AI26" i="25"/>
  <c r="X306" i="25"/>
  <c r="X280" i="25"/>
  <c r="X305" i="25"/>
  <c r="X223" i="25"/>
  <c r="X163" i="25"/>
  <c r="X210" i="25"/>
  <c r="X235" i="25"/>
  <c r="X273" i="25"/>
  <c r="X62" i="25"/>
  <c r="X205" i="25"/>
  <c r="X186" i="25"/>
  <c r="X242" i="25"/>
  <c r="X58" i="25"/>
  <c r="X74" i="25"/>
  <c r="AI13" i="25"/>
  <c r="AI232" i="25"/>
  <c r="AS232" i="25" s="1"/>
  <c r="X167" i="25"/>
  <c r="X30" i="25"/>
  <c r="X113" i="25"/>
  <c r="X276" i="25"/>
  <c r="X230" i="25"/>
  <c r="X21" i="25"/>
  <c r="AI40" i="25"/>
  <c r="AI12" i="25"/>
  <c r="X112" i="25"/>
  <c r="X27" i="25"/>
  <c r="X47" i="25"/>
  <c r="X63" i="25"/>
  <c r="X126" i="25"/>
  <c r="X203" i="25"/>
  <c r="X308" i="25"/>
  <c r="X35" i="25"/>
  <c r="X80" i="25"/>
  <c r="X25" i="25"/>
  <c r="X176" i="25"/>
  <c r="X36" i="25"/>
  <c r="X66" i="25"/>
  <c r="X241" i="25"/>
  <c r="X277" i="25"/>
  <c r="AI49" i="25"/>
  <c r="X274" i="25"/>
  <c r="X202" i="25"/>
  <c r="X268" i="25"/>
  <c r="X316" i="25"/>
  <c r="X94" i="25"/>
  <c r="X103" i="25"/>
  <c r="X160" i="25"/>
  <c r="X15" i="25"/>
  <c r="X131" i="25"/>
  <c r="AI91" i="25"/>
  <c r="X236" i="25"/>
  <c r="X219" i="25"/>
  <c r="AI121" i="25"/>
  <c r="X285" i="25"/>
  <c r="X259" i="25"/>
  <c r="AI72" i="25"/>
  <c r="X237" i="25"/>
  <c r="AI243" i="25"/>
  <c r="AS243" i="25" s="1"/>
  <c r="X283" i="25"/>
  <c r="AI77" i="25"/>
  <c r="X246" i="25"/>
  <c r="AI85" i="25"/>
  <c r="AI293" i="25"/>
  <c r="AS293" i="25" s="1"/>
  <c r="X169" i="25"/>
  <c r="X249" i="25"/>
  <c r="AI165" i="25"/>
  <c r="X129" i="25"/>
  <c r="X177" i="25"/>
  <c r="X193" i="25"/>
  <c r="AI288" i="25"/>
  <c r="AS288" i="25" s="1"/>
  <c r="X232" i="25"/>
  <c r="AI188" i="25"/>
  <c r="X138" i="25"/>
  <c r="X256" i="25"/>
  <c r="X243" i="25"/>
  <c r="X269" i="25"/>
  <c r="X8" i="25"/>
  <c r="AI219" i="25"/>
  <c r="AS219" i="25" s="1"/>
  <c r="X157" i="25"/>
  <c r="X158" i="25"/>
  <c r="AI318" i="25"/>
  <c r="AS318" i="25" s="1"/>
  <c r="AI34" i="25"/>
  <c r="X250" i="25"/>
  <c r="AI285" i="25"/>
  <c r="AS285" i="25" s="1"/>
  <c r="AI18" i="25"/>
  <c r="X299" i="25"/>
  <c r="X6" i="25"/>
  <c r="X228" i="25"/>
  <c r="X234" i="25"/>
  <c r="AI308" i="25"/>
  <c r="AS308" i="25" s="1"/>
  <c r="X141" i="25"/>
  <c r="X224" i="25"/>
  <c r="AI258" i="25"/>
  <c r="AS258" i="25" s="1"/>
  <c r="AI310" i="25"/>
  <c r="AS310" i="25" s="1"/>
  <c r="AI286" i="25"/>
  <c r="AS286" i="25" s="1"/>
  <c r="AI203" i="25"/>
  <c r="AI274" i="25"/>
  <c r="AS274" i="25" s="1"/>
  <c r="AI57" i="25"/>
  <c r="AI226" i="25"/>
  <c r="AS226" i="25" s="1"/>
  <c r="AI184" i="25"/>
  <c r="AI178" i="25"/>
  <c r="X207" i="25"/>
  <c r="AI7" i="25"/>
  <c r="X252" i="25"/>
  <c r="X239" i="25"/>
  <c r="AI189" i="25"/>
  <c r="AI32" i="25"/>
  <c r="X300" i="25"/>
  <c r="AI55" i="25"/>
  <c r="X270" i="25"/>
  <c r="X185" i="25"/>
  <c r="AI182" i="25"/>
  <c r="X291" i="25"/>
  <c r="AI267" i="25"/>
  <c r="AS267" i="25" s="1"/>
  <c r="AI222" i="25"/>
  <c r="AS222" i="25" s="1"/>
  <c r="AI60" i="25"/>
  <c r="AI137" i="25"/>
  <c r="AI153" i="25"/>
  <c r="AI169" i="25"/>
  <c r="AI185" i="25"/>
  <c r="X231" i="25"/>
  <c r="X298" i="25"/>
  <c r="AI263" i="25"/>
  <c r="AS263" i="25" s="1"/>
  <c r="AI16" i="25"/>
  <c r="AI249" i="25"/>
  <c r="AS249" i="25" s="1"/>
  <c r="AI291" i="25"/>
  <c r="AS291" i="25" s="1"/>
  <c r="AI284" i="25"/>
  <c r="AS284" i="25" s="1"/>
  <c r="AI170" i="25"/>
  <c r="X225" i="25"/>
  <c r="AI39" i="25"/>
  <c r="X190" i="25"/>
  <c r="AI33" i="25"/>
  <c r="AI19" i="25"/>
  <c r="AI157" i="25"/>
  <c r="X293" i="25"/>
  <c r="X263" i="25"/>
  <c r="AI10" i="25"/>
  <c r="AI271" i="25"/>
  <c r="AS271" i="25" s="1"/>
  <c r="X289" i="25"/>
  <c r="X251" i="25"/>
  <c r="AI84" i="25"/>
  <c r="X284" i="25"/>
  <c r="X222" i="25"/>
  <c r="AI75" i="25"/>
  <c r="X198" i="25"/>
  <c r="AI90" i="25"/>
  <c r="X56" i="25"/>
  <c r="X13" i="25"/>
  <c r="X65" i="25"/>
  <c r="X93" i="25"/>
  <c r="X97" i="25"/>
  <c r="X101" i="25"/>
  <c r="X105" i="25"/>
  <c r="AI164" i="25"/>
  <c r="X258" i="25"/>
  <c r="X14" i="25"/>
  <c r="X89" i="25"/>
  <c r="X40" i="25"/>
  <c r="X71" i="25"/>
  <c r="AI140" i="25"/>
  <c r="X170" i="25"/>
  <c r="X281" i="25"/>
  <c r="X38" i="25"/>
  <c r="X173" i="25"/>
  <c r="X201" i="25"/>
  <c r="AI45" i="25"/>
  <c r="X88" i="25"/>
  <c r="X140" i="25"/>
  <c r="X296" i="25"/>
  <c r="AI58" i="25"/>
  <c r="AI43" i="25"/>
  <c r="AI111" i="25"/>
  <c r="AI173" i="25"/>
  <c r="AI65" i="25"/>
  <c r="X55" i="25"/>
  <c r="X240" i="25"/>
  <c r="AI259" i="25"/>
  <c r="AS259" i="25" s="1"/>
  <c r="AI23" i="25"/>
  <c r="X133" i="25"/>
  <c r="X148" i="25"/>
  <c r="X135" i="25"/>
  <c r="AI317" i="25"/>
  <c r="AS317" i="25" s="1"/>
  <c r="X34" i="25"/>
  <c r="AI74" i="25"/>
  <c r="AI253" i="25"/>
  <c r="AS253" i="25" s="1"/>
  <c r="AI50" i="25"/>
  <c r="AI256" i="25"/>
  <c r="AS256" i="25" s="1"/>
  <c r="X295" i="25"/>
  <c r="X53" i="25"/>
  <c r="X90" i="25"/>
  <c r="X59" i="25"/>
  <c r="X261" i="25"/>
  <c r="X69" i="25"/>
  <c r="X28" i="25"/>
  <c r="X39" i="25"/>
  <c r="X206" i="25"/>
  <c r="X307" i="25"/>
  <c r="X48" i="25"/>
  <c r="AI80" i="25"/>
  <c r="AI98" i="25"/>
  <c r="AI89" i="25"/>
  <c r="X9" i="25"/>
  <c r="X139" i="25"/>
  <c r="X10" i="25"/>
  <c r="AI25" i="25"/>
  <c r="X220" i="25"/>
  <c r="AI73" i="25"/>
  <c r="X199" i="25"/>
  <c r="X95" i="25"/>
  <c r="X248" i="25"/>
  <c r="X287" i="25"/>
  <c r="X26" i="25"/>
  <c r="X51" i="25"/>
  <c r="X102" i="25"/>
  <c r="X278" i="25"/>
  <c r="AI46" i="25"/>
  <c r="X116" i="25"/>
  <c r="X119" i="25"/>
  <c r="X91" i="25"/>
  <c r="X143" i="25"/>
  <c r="X267" i="25"/>
  <c r="X314" i="25"/>
  <c r="AI205" i="25"/>
  <c r="X77" i="25"/>
  <c r="X128" i="25"/>
  <c r="X288" i="25"/>
  <c r="X188" i="25"/>
  <c r="AI171" i="25"/>
  <c r="X64" i="25"/>
  <c r="AI99" i="25"/>
  <c r="X159" i="25"/>
  <c r="X191" i="25"/>
  <c r="AI278" i="25"/>
  <c r="AS278" i="25" s="1"/>
  <c r="AI294" i="25"/>
  <c r="AS294" i="25" s="1"/>
  <c r="X229" i="25"/>
  <c r="X282" i="25"/>
  <c r="X313" i="25"/>
  <c r="AI316" i="25"/>
  <c r="AS316" i="25" s="1"/>
  <c r="AI127" i="25"/>
  <c r="AI95" i="25"/>
  <c r="X262" i="25"/>
  <c r="X294" i="25"/>
  <c r="AI66" i="25"/>
  <c r="AJ197" i="24"/>
  <c r="AJ127" i="24"/>
  <c r="Y200" i="24"/>
  <c r="Y123" i="24"/>
  <c r="Y311" i="24"/>
  <c r="AJ289" i="24"/>
  <c r="AT289" i="24" s="1"/>
  <c r="Y124" i="24"/>
  <c r="AJ121" i="24"/>
  <c r="Y126" i="24"/>
  <c r="Y160" i="24"/>
  <c r="Y140" i="24"/>
  <c r="Y197" i="24"/>
  <c r="Y173" i="24"/>
  <c r="AJ273" i="24"/>
  <c r="AT273" i="24" s="1"/>
  <c r="AJ257" i="24"/>
  <c r="AT257" i="24" s="1"/>
  <c r="AJ311" i="24"/>
  <c r="AT311" i="24" s="1"/>
  <c r="AJ230" i="24"/>
  <c r="AT230" i="24" s="1"/>
  <c r="AJ225" i="24"/>
  <c r="AT225" i="24" s="1"/>
  <c r="AJ111" i="24"/>
  <c r="AJ269" i="24"/>
  <c r="AT269" i="24" s="1"/>
  <c r="Y112" i="24"/>
  <c r="Y111" i="24"/>
  <c r="Y201" i="24"/>
  <c r="AG140" i="24"/>
  <c r="Y180" i="24"/>
  <c r="AG126" i="24"/>
  <c r="AG160" i="24"/>
  <c r="AG178" i="24"/>
  <c r="AG175" i="24"/>
  <c r="AG197" i="24"/>
  <c r="AG111" i="24"/>
  <c r="AG164" i="24"/>
  <c r="AJ298" i="24"/>
  <c r="AT298" i="24" s="1"/>
  <c r="AG118" i="24"/>
  <c r="AG173" i="24"/>
  <c r="AG180" i="24"/>
  <c r="AG129" i="24"/>
  <c r="AG138" i="24"/>
  <c r="AG124" i="24"/>
  <c r="AJ272" i="24"/>
  <c r="AT272" i="24" s="1"/>
  <c r="AJ293" i="24"/>
  <c r="AT293" i="24" s="1"/>
  <c r="Y244" i="24"/>
  <c r="Y287" i="24"/>
  <c r="AJ222" i="24"/>
  <c r="AT222" i="24" s="1"/>
  <c r="AG200" i="24"/>
  <c r="AG202" i="24"/>
  <c r="AG135" i="24"/>
  <c r="Y172" i="24"/>
  <c r="Y175" i="24"/>
  <c r="AG121" i="24"/>
  <c r="AG127" i="24"/>
  <c r="AJ301" i="24"/>
  <c r="AT301" i="24" s="1"/>
  <c r="AJ308" i="24"/>
  <c r="AT308" i="24" s="1"/>
  <c r="AJ228" i="24"/>
  <c r="AT228" i="24" s="1"/>
  <c r="AJ251" i="24"/>
  <c r="AT251" i="24" s="1"/>
  <c r="AJ252" i="24"/>
  <c r="AT252" i="24" s="1"/>
  <c r="AJ286" i="24"/>
  <c r="AT286" i="24" s="1"/>
  <c r="AJ302" i="24"/>
  <c r="AT302" i="24" s="1"/>
  <c r="AJ223" i="24"/>
  <c r="AT223" i="24" s="1"/>
  <c r="AJ274" i="24"/>
  <c r="AT274" i="24" s="1"/>
  <c r="AJ246" i="24"/>
  <c r="AT246" i="24" s="1"/>
  <c r="AJ295" i="24"/>
  <c r="AT295" i="24" s="1"/>
  <c r="AJ305" i="24"/>
  <c r="AT305" i="24" s="1"/>
  <c r="AJ304" i="24"/>
  <c r="AT304" i="24" s="1"/>
  <c r="AJ231" i="24"/>
  <c r="AT231" i="24" s="1"/>
  <c r="AJ316" i="24"/>
  <c r="AT316" i="24" s="1"/>
  <c r="Y248" i="24"/>
  <c r="Y301" i="24"/>
  <c r="Y275" i="24"/>
  <c r="AJ255" i="24"/>
  <c r="AT255" i="24" s="1"/>
  <c r="Y295" i="24"/>
  <c r="AJ237" i="24"/>
  <c r="AT237" i="24" s="1"/>
  <c r="AJ224" i="24"/>
  <c r="AT224" i="24" s="1"/>
  <c r="AJ241" i="24"/>
  <c r="AT241" i="24" s="1"/>
  <c r="AJ303" i="24"/>
  <c r="AT303" i="24" s="1"/>
  <c r="AJ234" i="24"/>
  <c r="AT234" i="24" s="1"/>
  <c r="AJ259" i="24"/>
  <c r="AT259" i="24" s="1"/>
  <c r="AJ310" i="24"/>
  <c r="AT310" i="24" s="1"/>
  <c r="AJ248" i="24"/>
  <c r="AT248" i="24" s="1"/>
  <c r="AJ315" i="24"/>
  <c r="AT315" i="24" s="1"/>
  <c r="AJ219" i="24"/>
  <c r="AT219" i="24" s="1"/>
  <c r="AJ217" i="24"/>
  <c r="AT217" i="24" s="1"/>
  <c r="AG231" i="24"/>
  <c r="AG235" i="24"/>
  <c r="AG315" i="24"/>
  <c r="AG220" i="24"/>
  <c r="AG242" i="24"/>
  <c r="AG294" i="24"/>
  <c r="AG224" i="24"/>
  <c r="Y303" i="24"/>
  <c r="AG273" i="24"/>
  <c r="AG301" i="24"/>
  <c r="AG236" i="24"/>
  <c r="AJ317" i="24"/>
  <c r="AT317" i="24" s="1"/>
  <c r="Y257" i="24"/>
  <c r="AG252" i="24"/>
  <c r="Y224" i="24"/>
  <c r="Y313" i="24"/>
  <c r="Y228" i="24"/>
  <c r="AG308" i="24"/>
  <c r="AG228" i="24"/>
  <c r="AG234" i="24"/>
  <c r="AJ276" i="24"/>
  <c r="AT276" i="24" s="1"/>
  <c r="AG259" i="24"/>
  <c r="AG257" i="24"/>
  <c r="AG272" i="24"/>
  <c r="AG316" i="24"/>
  <c r="AJ229" i="24"/>
  <c r="AT229" i="24" s="1"/>
  <c r="Y265" i="24"/>
  <c r="AG251" i="24"/>
  <c r="AG293" i="24"/>
  <c r="AG289" i="24"/>
  <c r="AG222" i="24"/>
  <c r="AJ287" i="24"/>
  <c r="AT287" i="24" s="1"/>
  <c r="AJ275" i="24"/>
  <c r="AT275" i="24" s="1"/>
  <c r="AG317" i="24"/>
  <c r="AJ267" i="24"/>
  <c r="AT267" i="24" s="1"/>
  <c r="AJ221" i="24"/>
  <c r="AT221" i="24" s="1"/>
  <c r="AG237" i="24"/>
  <c r="Y305" i="24"/>
  <c r="AJ244" i="24"/>
  <c r="AT244" i="24" s="1"/>
  <c r="AG241" i="24"/>
  <c r="AG295" i="24"/>
  <c r="AG240" i="24"/>
  <c r="AG305" i="24"/>
  <c r="AG219" i="24"/>
  <c r="AG269" i="24"/>
  <c r="AG288" i="24"/>
  <c r="AG286" i="24"/>
  <c r="AG265" i="24"/>
  <c r="AG260" i="24"/>
  <c r="AG246" i="24"/>
  <c r="Y219" i="24"/>
  <c r="Y317" i="24"/>
  <c r="AG280" i="24"/>
  <c r="AG302" i="24"/>
  <c r="AG298" i="24"/>
  <c r="AG311" i="24"/>
  <c r="AJ240" i="24"/>
  <c r="AT240" i="24" s="1"/>
  <c r="AG230" i="24"/>
  <c r="AG276" i="24"/>
  <c r="AG304" i="24"/>
  <c r="Y223" i="24"/>
  <c r="Y245" i="24"/>
  <c r="AG310" i="24"/>
  <c r="AG248" i="24"/>
  <c r="AJ235" i="24"/>
  <c r="AT235" i="24" s="1"/>
  <c r="AG229" i="24"/>
  <c r="Y236" i="24"/>
  <c r="AJ236" i="24"/>
  <c r="AT236" i="24" s="1"/>
  <c r="AG287" i="24"/>
  <c r="AJ220" i="24"/>
  <c r="AT220" i="24" s="1"/>
  <c r="AG255" i="24"/>
  <c r="AG275" i="24"/>
  <c r="AG267" i="24"/>
  <c r="AJ288" i="24"/>
  <c r="AT288" i="24" s="1"/>
  <c r="AG221" i="24"/>
  <c r="AG217" i="24"/>
  <c r="Y315" i="24"/>
  <c r="Y310" i="24"/>
  <c r="Y255" i="24"/>
  <c r="AG225" i="24"/>
  <c r="AJ280" i="24"/>
  <c r="AT280" i="24" s="1"/>
  <c r="AJ242" i="24"/>
  <c r="AT242" i="24" s="1"/>
  <c r="AJ294" i="24"/>
  <c r="AT294" i="24" s="1"/>
  <c r="AG244" i="24"/>
  <c r="AG223" i="24"/>
  <c r="AG274" i="24"/>
  <c r="AJ265" i="24"/>
  <c r="AT265" i="24" s="1"/>
  <c r="AJ260" i="24"/>
  <c r="AT260" i="24" s="1"/>
  <c r="Y246" i="24"/>
  <c r="Y280" i="24"/>
  <c r="AG303" i="24"/>
  <c r="Y5" i="24"/>
  <c r="Y33" i="24"/>
  <c r="Y96" i="24"/>
  <c r="Y21" i="24"/>
  <c r="AF145" i="25" l="1"/>
  <c r="AF282" i="25"/>
  <c r="AF290" i="25"/>
  <c r="AF164" i="25"/>
  <c r="AF177" i="25"/>
  <c r="AF122" i="25"/>
  <c r="AF149" i="25"/>
  <c r="AF120" i="25"/>
  <c r="AM120" i="25" s="1"/>
  <c r="AF238" i="25"/>
  <c r="AF253" i="25"/>
  <c r="AF179" i="25"/>
  <c r="AJ179" i="25" s="1"/>
  <c r="AF228" i="25"/>
  <c r="AF186" i="25"/>
  <c r="AF196" i="25"/>
  <c r="AJ196" i="25" s="1"/>
  <c r="AF271" i="25"/>
  <c r="AF166" i="25"/>
  <c r="AJ166" i="25" s="1"/>
  <c r="AF202" i="25"/>
  <c r="AF167" i="25"/>
  <c r="AF296" i="25"/>
  <c r="AM296" i="25" s="1"/>
  <c r="CE296" i="25" s="1"/>
  <c r="AF229" i="25"/>
  <c r="AF141" i="25"/>
  <c r="AF244" i="25"/>
  <c r="AJ244" i="25" s="1"/>
  <c r="AF180" i="25"/>
  <c r="AF266" i="25"/>
  <c r="AM266" i="25" s="1"/>
  <c r="CE266" i="25" s="1"/>
  <c r="AF257" i="25"/>
  <c r="AM257" i="25" s="1"/>
  <c r="CE257" i="25" s="1"/>
  <c r="AF274" i="25"/>
  <c r="AF159" i="25"/>
  <c r="AM159" i="25" s="1"/>
  <c r="BW159" i="25" s="1"/>
  <c r="AF118" i="25"/>
  <c r="AF297" i="25"/>
  <c r="AF260" i="25"/>
  <c r="AJ260" i="25" s="1"/>
  <c r="AF256" i="25"/>
  <c r="AF127" i="25"/>
  <c r="AJ127" i="25" s="1"/>
  <c r="AF185" i="25"/>
  <c r="AJ185" i="25" s="1"/>
  <c r="AF206" i="25"/>
  <c r="AF194" i="25"/>
  <c r="AM194" i="25" s="1"/>
  <c r="BW194" i="25" s="1"/>
  <c r="AF131" i="25"/>
  <c r="AJ131" i="25" s="1"/>
  <c r="AF204" i="25"/>
  <c r="AF208" i="25"/>
  <c r="AJ208" i="25" s="1"/>
  <c r="AF187" i="25"/>
  <c r="AF158" i="25"/>
  <c r="AJ158" i="25" s="1"/>
  <c r="AF176" i="25"/>
  <c r="AJ176" i="25" s="1"/>
  <c r="AF193" i="25"/>
  <c r="AF151" i="25"/>
  <c r="AJ151" i="25" s="1"/>
  <c r="AF146" i="25"/>
  <c r="AM146" i="25" s="1"/>
  <c r="BW146" i="25" s="1"/>
  <c r="AF137" i="25"/>
  <c r="AM137" i="25" s="1"/>
  <c r="AF209" i="25"/>
  <c r="AJ209" i="25" s="1"/>
  <c r="AF150" i="25"/>
  <c r="AF200" i="25"/>
  <c r="AM200" i="25" s="1"/>
  <c r="BW200" i="25" s="1"/>
  <c r="AF114" i="25"/>
  <c r="AM114" i="25" s="1"/>
  <c r="BW114" i="25" s="1"/>
  <c r="AF197" i="25"/>
  <c r="AJ197" i="25" s="1"/>
  <c r="AF124" i="25"/>
  <c r="AM124" i="25" s="1"/>
  <c r="AF181" i="25"/>
  <c r="AJ181" i="25" s="1"/>
  <c r="AF113" i="25"/>
  <c r="AJ113" i="25" s="1"/>
  <c r="AF134" i="25"/>
  <c r="AM134" i="25" s="1"/>
  <c r="BW134" i="25" s="1"/>
  <c r="AF183" i="25"/>
  <c r="AF143" i="25"/>
  <c r="AJ143" i="25" s="1"/>
  <c r="AF254" i="25"/>
  <c r="AM254" i="25" s="1"/>
  <c r="AF264" i="25"/>
  <c r="AM264" i="25" s="1"/>
  <c r="CE264" i="25" s="1"/>
  <c r="AF154" i="25"/>
  <c r="AM154" i="25" s="1"/>
  <c r="BW154" i="25" s="1"/>
  <c r="AF198" i="25"/>
  <c r="AJ198" i="25" s="1"/>
  <c r="AF147" i="25"/>
  <c r="AM147" i="25" s="1"/>
  <c r="BW147" i="25" s="1"/>
  <c r="AF298" i="25"/>
  <c r="AJ298" i="25" s="1"/>
  <c r="AF237" i="25"/>
  <c r="AF144" i="25"/>
  <c r="AM144" i="25" s="1"/>
  <c r="BW144" i="25" s="1"/>
  <c r="AF311" i="25"/>
  <c r="AM311" i="25" s="1"/>
  <c r="CE311" i="25" s="1"/>
  <c r="AF207" i="25"/>
  <c r="AM207" i="25" s="1"/>
  <c r="BW207" i="25" s="1"/>
  <c r="AF230" i="25"/>
  <c r="AM230" i="25" s="1"/>
  <c r="AF313" i="25"/>
  <c r="AJ313" i="25" s="1"/>
  <c r="AF242" i="25"/>
  <c r="AJ242" i="25" s="1"/>
  <c r="AF148" i="25"/>
  <c r="AJ148" i="25" s="1"/>
  <c r="AF126" i="25"/>
  <c r="AJ126" i="25" s="1"/>
  <c r="AF168" i="25"/>
  <c r="AM168" i="25" s="1"/>
  <c r="BW168" i="25" s="1"/>
  <c r="AF201" i="25"/>
  <c r="AM201" i="25" s="1"/>
  <c r="BW201" i="25" s="1"/>
  <c r="AF272" i="25"/>
  <c r="AJ272" i="25" s="1"/>
  <c r="AF132" i="25"/>
  <c r="AM132" i="25" s="1"/>
  <c r="BW132" i="25" s="1"/>
  <c r="AF292" i="25"/>
  <c r="AM292" i="25" s="1"/>
  <c r="CE292" i="25" s="1"/>
  <c r="AF162" i="25"/>
  <c r="AM162" i="25" s="1"/>
  <c r="AF221" i="25"/>
  <c r="AJ221" i="25" s="1"/>
  <c r="AF125" i="25"/>
  <c r="AJ125" i="25" s="1"/>
  <c r="AF172" i="25"/>
  <c r="AJ172" i="25" s="1"/>
  <c r="AF128" i="25"/>
  <c r="AM128" i="25" s="1"/>
  <c r="BW128" i="25" s="1"/>
  <c r="AF255" i="25"/>
  <c r="AM255" i="25" s="1"/>
  <c r="CE255" i="25" s="1"/>
  <c r="AF139" i="25"/>
  <c r="AM139" i="25" s="1"/>
  <c r="BW139" i="25" s="1"/>
  <c r="AF156" i="25"/>
  <c r="AJ156" i="25" s="1"/>
  <c r="AF210" i="25"/>
  <c r="AJ210" i="25" s="1"/>
  <c r="AF184" i="25"/>
  <c r="AJ184" i="25" s="1"/>
  <c r="AF133" i="25"/>
  <c r="AJ133" i="25" s="1"/>
  <c r="AF123" i="25"/>
  <c r="AJ123" i="25" s="1"/>
  <c r="AG110" i="24"/>
  <c r="AF110" i="24"/>
  <c r="AG137" i="24"/>
  <c r="AN137" i="24" s="1"/>
  <c r="AF137" i="24"/>
  <c r="AG182" i="24"/>
  <c r="AK182" i="24" s="1"/>
  <c r="AF182" i="24"/>
  <c r="AG128" i="24"/>
  <c r="AF128" i="24"/>
  <c r="AG296" i="24"/>
  <c r="AK296" i="24" s="1"/>
  <c r="AF296" i="24"/>
  <c r="AG247" i="24"/>
  <c r="AN247" i="24" s="1"/>
  <c r="CD247" i="24" s="1"/>
  <c r="AF247" i="24"/>
  <c r="AG239" i="24"/>
  <c r="AF239" i="24"/>
  <c r="AG183" i="24"/>
  <c r="AN183" i="24" s="1"/>
  <c r="AX183" i="24" s="1"/>
  <c r="AF183" i="24"/>
  <c r="AG142" i="24"/>
  <c r="AN142" i="24" s="1"/>
  <c r="BU142" i="24" s="1"/>
  <c r="AF142" i="24"/>
  <c r="AG250" i="24"/>
  <c r="AN250" i="24" s="1"/>
  <c r="CD250" i="24" s="1"/>
  <c r="AF250" i="24"/>
  <c r="AG279" i="24"/>
  <c r="AK279" i="24" s="1"/>
  <c r="AF279" i="24"/>
  <c r="AG282" i="24"/>
  <c r="AF282" i="24"/>
  <c r="AG254" i="24"/>
  <c r="AF254" i="24"/>
  <c r="AG170" i="24"/>
  <c r="AK170" i="24" s="1"/>
  <c r="AF170" i="24"/>
  <c r="AG314" i="24"/>
  <c r="AN314" i="24" s="1"/>
  <c r="CD314" i="24" s="1"/>
  <c r="AF314" i="24"/>
  <c r="AG73" i="24"/>
  <c r="AK73" i="24" s="1"/>
  <c r="AF73" i="24"/>
  <c r="AG83" i="24"/>
  <c r="AN83" i="24" s="1"/>
  <c r="AF83" i="24"/>
  <c r="AG165" i="24"/>
  <c r="AK165" i="24" s="1"/>
  <c r="AF165" i="24"/>
  <c r="AG56" i="24"/>
  <c r="AN56" i="24" s="1"/>
  <c r="AX56" i="24" s="1"/>
  <c r="AF56" i="24"/>
  <c r="AG78" i="24"/>
  <c r="AK78" i="24" s="1"/>
  <c r="AF78" i="24"/>
  <c r="AG306" i="24"/>
  <c r="AK306" i="24" s="1"/>
  <c r="AF306" i="24"/>
  <c r="AG74" i="24"/>
  <c r="AK74" i="24" s="1"/>
  <c r="AF74" i="24"/>
  <c r="AG154" i="24"/>
  <c r="AN154" i="24" s="1"/>
  <c r="BJ154" i="24" s="1"/>
  <c r="AF154" i="24"/>
  <c r="AG238" i="24"/>
  <c r="AF238" i="24"/>
  <c r="AJ203" i="24"/>
  <c r="AT203" i="24" s="1"/>
  <c r="O212" i="24"/>
  <c r="J212" i="24"/>
  <c r="W212" i="24" s="1"/>
  <c r="V212" i="24"/>
  <c r="AS134" i="25"/>
  <c r="AS202" i="25"/>
  <c r="AS177" i="25"/>
  <c r="AS187" i="25"/>
  <c r="AS191" i="25"/>
  <c r="AS183" i="25"/>
  <c r="AS182" i="25"/>
  <c r="AS209" i="25"/>
  <c r="AS186" i="25"/>
  <c r="AS180" i="25"/>
  <c r="AS200" i="25"/>
  <c r="AS179" i="25"/>
  <c r="AS146" i="25"/>
  <c r="AS181" i="25"/>
  <c r="AS119" i="25"/>
  <c r="AS193" i="25"/>
  <c r="AS144" i="25"/>
  <c r="AS117" i="25"/>
  <c r="AS205" i="25"/>
  <c r="AS173" i="25"/>
  <c r="AS140" i="25"/>
  <c r="AS194" i="25"/>
  <c r="AS166" i="25"/>
  <c r="AS137" i="25"/>
  <c r="AS184" i="25"/>
  <c r="AS203" i="25"/>
  <c r="AS148" i="25"/>
  <c r="AS165" i="25"/>
  <c r="AS124" i="25"/>
  <c r="AS158" i="25"/>
  <c r="AS132" i="25"/>
  <c r="AS207" i="25"/>
  <c r="AS138" i="25"/>
  <c r="AS131" i="25"/>
  <c r="AS143" i="25"/>
  <c r="AS161" i="25"/>
  <c r="AS152" i="25"/>
  <c r="AS149" i="25"/>
  <c r="AS141" i="25"/>
  <c r="AS123" i="25"/>
  <c r="AS118" i="25"/>
  <c r="AS125" i="25"/>
  <c r="AS129" i="25"/>
  <c r="AS128" i="25"/>
  <c r="AS127" i="25"/>
  <c r="AS198" i="25"/>
  <c r="AS157" i="25"/>
  <c r="AS170" i="25"/>
  <c r="AS169" i="25"/>
  <c r="AS189" i="25"/>
  <c r="AS126" i="25"/>
  <c r="AS156" i="25"/>
  <c r="AS133" i="25"/>
  <c r="AS176" i="25"/>
  <c r="AS190" i="25"/>
  <c r="AS195" i="25"/>
  <c r="AS160" i="25"/>
  <c r="AS197" i="25"/>
  <c r="AS171" i="25"/>
  <c r="AS164" i="25"/>
  <c r="AS150" i="25"/>
  <c r="AS153" i="25"/>
  <c r="AS178" i="25"/>
  <c r="AS167" i="25"/>
  <c r="AS113" i="25"/>
  <c r="AS154" i="25"/>
  <c r="AS142" i="25"/>
  <c r="AS168" i="25"/>
  <c r="AS201" i="25"/>
  <c r="AS114" i="25"/>
  <c r="AS175" i="25"/>
  <c r="AS206" i="25"/>
  <c r="AS145" i="25"/>
  <c r="AS192" i="25"/>
  <c r="AS159" i="25"/>
  <c r="AS204" i="25"/>
  <c r="AS111" i="25"/>
  <c r="AS151" i="25"/>
  <c r="AS185" i="25"/>
  <c r="AS120" i="25"/>
  <c r="AS188" i="25"/>
  <c r="AS121" i="25"/>
  <c r="AS162" i="25"/>
  <c r="AS115" i="25"/>
  <c r="AS135" i="25"/>
  <c r="AS172" i="25"/>
  <c r="AS196" i="25"/>
  <c r="AS199" i="25"/>
  <c r="AS147" i="25"/>
  <c r="AS174" i="25"/>
  <c r="AS163" i="25"/>
  <c r="AS130" i="25"/>
  <c r="AS136" i="25"/>
  <c r="AS208" i="25"/>
  <c r="AS155" i="25"/>
  <c r="AS210" i="25"/>
  <c r="AS116" i="25"/>
  <c r="AS112" i="25"/>
  <c r="AS139" i="25"/>
  <c r="AS122" i="25"/>
  <c r="AS110" i="25"/>
  <c r="AT141" i="24"/>
  <c r="AT145" i="24"/>
  <c r="AT205" i="24"/>
  <c r="AT194" i="24"/>
  <c r="AT125" i="24"/>
  <c r="AT131" i="24"/>
  <c r="AT150" i="24"/>
  <c r="AT188" i="24"/>
  <c r="AT170" i="24"/>
  <c r="AT162" i="24"/>
  <c r="AT113" i="24"/>
  <c r="AT143" i="24"/>
  <c r="AT127" i="24"/>
  <c r="AT110" i="24"/>
  <c r="AT184" i="24"/>
  <c r="AT154" i="24"/>
  <c r="AT119" i="24"/>
  <c r="AT167" i="24"/>
  <c r="AT152" i="24"/>
  <c r="AT128" i="24"/>
  <c r="AT186" i="24"/>
  <c r="AT179" i="24"/>
  <c r="AT163" i="24"/>
  <c r="AT161" i="24"/>
  <c r="AT209" i="24"/>
  <c r="AT133" i="24"/>
  <c r="AT139" i="24"/>
  <c r="AT168" i="24"/>
  <c r="AT176" i="24"/>
  <c r="AT198" i="24"/>
  <c r="AT130" i="24"/>
  <c r="AT191" i="24"/>
  <c r="AT193" i="24"/>
  <c r="AT190" i="24"/>
  <c r="AT197" i="24"/>
  <c r="AT137" i="24"/>
  <c r="AT159" i="24"/>
  <c r="AT142" i="24"/>
  <c r="AT183" i="24"/>
  <c r="AT177" i="24"/>
  <c r="AT165" i="24"/>
  <c r="AT192" i="24"/>
  <c r="AT196" i="24"/>
  <c r="AT189" i="24"/>
  <c r="AT144" i="24"/>
  <c r="AT151" i="24"/>
  <c r="AT146" i="24"/>
  <c r="AT166" i="24"/>
  <c r="AT185" i="24"/>
  <c r="AT111" i="24"/>
  <c r="AT199" i="24"/>
  <c r="AT156" i="24"/>
  <c r="AT204" i="24"/>
  <c r="AT114" i="24"/>
  <c r="AT120" i="24"/>
  <c r="AT158" i="24"/>
  <c r="AT121" i="24"/>
  <c r="AT182" i="24"/>
  <c r="AT149" i="24"/>
  <c r="AT134" i="24"/>
  <c r="AT206" i="24"/>
  <c r="AT174" i="24"/>
  <c r="AT117" i="24"/>
  <c r="AT147" i="24"/>
  <c r="AT171" i="24"/>
  <c r="AT132" i="24"/>
  <c r="AV23" i="24"/>
  <c r="AV73" i="24"/>
  <c r="AV104" i="24"/>
  <c r="AV105" i="24"/>
  <c r="AV100" i="24"/>
  <c r="AV53" i="24"/>
  <c r="AV36" i="24"/>
  <c r="AV5" i="24"/>
  <c r="BV5" i="24"/>
  <c r="AV27" i="24"/>
  <c r="AV87" i="24"/>
  <c r="AV95" i="24"/>
  <c r="AV69" i="24"/>
  <c r="AV70" i="24"/>
  <c r="AV42" i="24"/>
  <c r="AV60" i="24"/>
  <c r="AV50" i="24"/>
  <c r="AV78" i="24"/>
  <c r="AV32" i="24"/>
  <c r="AV14" i="24"/>
  <c r="AV83" i="24"/>
  <c r="AV10" i="24"/>
  <c r="AV25" i="24"/>
  <c r="AJ55" i="24"/>
  <c r="AT55" i="24" s="1"/>
  <c r="AG290" i="24"/>
  <c r="AG152" i="24"/>
  <c r="AG70" i="24"/>
  <c r="AJ278" i="24"/>
  <c r="AT278" i="24" s="1"/>
  <c r="AG278" i="24"/>
  <c r="AN278" i="24" s="1"/>
  <c r="CD278" i="24" s="1"/>
  <c r="AN254" i="24"/>
  <c r="CD254" i="24" s="1"/>
  <c r="AG190" i="24"/>
  <c r="AN190" i="24" s="1"/>
  <c r="AJ207" i="24"/>
  <c r="AG281" i="24"/>
  <c r="AN281" i="24" s="1"/>
  <c r="CD281" i="24" s="1"/>
  <c r="AJ261" i="24"/>
  <c r="AT261" i="24" s="1"/>
  <c r="AJ281" i="24"/>
  <c r="AT281" i="24" s="1"/>
  <c r="AG261" i="24"/>
  <c r="AJ195" i="24"/>
  <c r="AJ245" i="24"/>
  <c r="AT245" i="24" s="1"/>
  <c r="AG284" i="24"/>
  <c r="AN284" i="24" s="1"/>
  <c r="CD284" i="24" s="1"/>
  <c r="AJ249" i="24"/>
  <c r="AT249" i="24" s="1"/>
  <c r="AJ153" i="24"/>
  <c r="AG263" i="24"/>
  <c r="AG249" i="24"/>
  <c r="AN249" i="24" s="1"/>
  <c r="AG191" i="24"/>
  <c r="AJ290" i="24"/>
  <c r="AT290" i="24" s="1"/>
  <c r="AJ263" i="24"/>
  <c r="AT263" i="24" s="1"/>
  <c r="AG271" i="24"/>
  <c r="AN271" i="24" s="1"/>
  <c r="CD271" i="24" s="1"/>
  <c r="AG193" i="24"/>
  <c r="AG256" i="24"/>
  <c r="AK256" i="24" s="1"/>
  <c r="AJ79" i="24"/>
  <c r="AJ201" i="24"/>
  <c r="AJ172" i="24"/>
  <c r="AJ262" i="24"/>
  <c r="AT262" i="24" s="1"/>
  <c r="AJ187" i="24"/>
  <c r="AJ299" i="24"/>
  <c r="AT299" i="24" s="1"/>
  <c r="AG218" i="24"/>
  <c r="AK218" i="24" s="1"/>
  <c r="AJ96" i="24"/>
  <c r="AT96" i="24" s="1"/>
  <c r="AG245" i="24"/>
  <c r="AN245" i="24" s="1"/>
  <c r="CD245" i="24" s="1"/>
  <c r="AJ157" i="24"/>
  <c r="AJ284" i="24"/>
  <c r="AT284" i="24" s="1"/>
  <c r="AJ208" i="24"/>
  <c r="AJ210" i="24"/>
  <c r="AG313" i="24"/>
  <c r="AG132" i="24"/>
  <c r="AV101" i="24"/>
  <c r="AT101" i="24"/>
  <c r="AV91" i="24"/>
  <c r="AT91" i="24"/>
  <c r="AJ181" i="24"/>
  <c r="AJ92" i="24"/>
  <c r="AG171" i="24"/>
  <c r="AN171" i="24" s="1"/>
  <c r="AX171" i="24" s="1"/>
  <c r="AG312" i="24"/>
  <c r="AK312" i="24" s="1"/>
  <c r="AG227" i="24"/>
  <c r="AK227" i="24" s="1"/>
  <c r="AJ97" i="24"/>
  <c r="AJ313" i="24"/>
  <c r="AT313" i="24" s="1"/>
  <c r="AJ169" i="24"/>
  <c r="AG147" i="24"/>
  <c r="AJ258" i="24"/>
  <c r="AT258" i="24" s="1"/>
  <c r="AJ155" i="24"/>
  <c r="AG243" i="24"/>
  <c r="AG130" i="24"/>
  <c r="AK130" i="24" s="1"/>
  <c r="AJ271" i="24"/>
  <c r="AT271" i="24" s="1"/>
  <c r="AJ283" i="24"/>
  <c r="AT283" i="24" s="1"/>
  <c r="AG158" i="24"/>
  <c r="AN158" i="24" s="1"/>
  <c r="BV158" i="24" s="1"/>
  <c r="AG153" i="24"/>
  <c r="AN153" i="24" s="1"/>
  <c r="CD153" i="24" s="1"/>
  <c r="AG283" i="24"/>
  <c r="AN283" i="24" s="1"/>
  <c r="CD283" i="24" s="1"/>
  <c r="AG270" i="24"/>
  <c r="AG266" i="24"/>
  <c r="AK266" i="24" s="1"/>
  <c r="AG146" i="24"/>
  <c r="AK146" i="24" s="1"/>
  <c r="AG258" i="24"/>
  <c r="AN258" i="24" s="1"/>
  <c r="CD258" i="24" s="1"/>
  <c r="AG268" i="24"/>
  <c r="AN268" i="24" s="1"/>
  <c r="CD268" i="24" s="1"/>
  <c r="AG176" i="24"/>
  <c r="AK176" i="24" s="1"/>
  <c r="AG291" i="24"/>
  <c r="AN291" i="24" s="1"/>
  <c r="CD291" i="24" s="1"/>
  <c r="AG292" i="24"/>
  <c r="AK292" i="24" s="1"/>
  <c r="AG262" i="24"/>
  <c r="AN262" i="24" s="1"/>
  <c r="CD262" i="24" s="1"/>
  <c r="AG198" i="24"/>
  <c r="AK198" i="24" s="1"/>
  <c r="AG114" i="24"/>
  <c r="AG166" i="24"/>
  <c r="AG117" i="24"/>
  <c r="AK117" i="24" s="1"/>
  <c r="AG195" i="24"/>
  <c r="AG309" i="24"/>
  <c r="AK309" i="24" s="1"/>
  <c r="AG233" i="24"/>
  <c r="AK233" i="24" s="1"/>
  <c r="AG122" i="24"/>
  <c r="AG300" i="24"/>
  <c r="AN300" i="24" s="1"/>
  <c r="AG299" i="24"/>
  <c r="AN299" i="24" s="1"/>
  <c r="CD299" i="24" s="1"/>
  <c r="AG232" i="24"/>
  <c r="AK232" i="24" s="1"/>
  <c r="AG185" i="24"/>
  <c r="AN185" i="24" s="1"/>
  <c r="BV185" i="24" s="1"/>
  <c r="AV85" i="24"/>
  <c r="AT85" i="24"/>
  <c r="AV86" i="24"/>
  <c r="AT86" i="24"/>
  <c r="AV74" i="24"/>
  <c r="AT74" i="24"/>
  <c r="AJ89" i="24"/>
  <c r="AG120" i="24"/>
  <c r="AN120" i="24" s="1"/>
  <c r="AG133" i="24"/>
  <c r="AK133" i="24" s="1"/>
  <c r="AT83" i="24"/>
  <c r="AG151" i="24"/>
  <c r="AN151" i="24" s="1"/>
  <c r="BJ151" i="24" s="1"/>
  <c r="AG143" i="24"/>
  <c r="AN143" i="24" s="1"/>
  <c r="AT73" i="24"/>
  <c r="AJ63" i="24"/>
  <c r="AJ82" i="24"/>
  <c r="AJ72" i="24"/>
  <c r="AJ148" i="24"/>
  <c r="AJ46" i="24"/>
  <c r="AG168" i="24"/>
  <c r="AG174" i="24"/>
  <c r="AG189" i="24"/>
  <c r="AG139" i="24"/>
  <c r="AN139" i="24" s="1"/>
  <c r="BU139" i="24" s="1"/>
  <c r="AJ68" i="24"/>
  <c r="AG226" i="24"/>
  <c r="AG150" i="24"/>
  <c r="AK150" i="24" s="1"/>
  <c r="AG156" i="24"/>
  <c r="AK156" i="24" s="1"/>
  <c r="AG204" i="24"/>
  <c r="AK204" i="24" s="1"/>
  <c r="AG264" i="24"/>
  <c r="AG144" i="24"/>
  <c r="AN144" i="24" s="1"/>
  <c r="AX144" i="24" s="1"/>
  <c r="AG253" i="24"/>
  <c r="AN253" i="24" s="1"/>
  <c r="CD253" i="24" s="1"/>
  <c r="AJ307" i="24"/>
  <c r="AT307" i="24" s="1"/>
  <c r="AJ277" i="24"/>
  <c r="AT277" i="24" s="1"/>
  <c r="AJ54" i="24"/>
  <c r="AV56" i="24"/>
  <c r="AT56" i="24"/>
  <c r="AG277" i="24"/>
  <c r="AN277" i="24" s="1"/>
  <c r="AJ59" i="24"/>
  <c r="AJ51" i="24"/>
  <c r="AJ136" i="24"/>
  <c r="AJ64" i="24"/>
  <c r="AJ226" i="24"/>
  <c r="AT226" i="24" s="1"/>
  <c r="AG297" i="24"/>
  <c r="AK297" i="24" s="1"/>
  <c r="AG25" i="24"/>
  <c r="AG89" i="24"/>
  <c r="AN89" i="24" s="1"/>
  <c r="CD89" i="24" s="1"/>
  <c r="AG285" i="24"/>
  <c r="AK285" i="24" s="1"/>
  <c r="AG209" i="24"/>
  <c r="AK209" i="24" s="1"/>
  <c r="AJ40" i="24"/>
  <c r="AG307" i="24"/>
  <c r="AG113" i="24"/>
  <c r="AN113" i="24" s="1"/>
  <c r="AJ41" i="24"/>
  <c r="AG179" i="24"/>
  <c r="AN179" i="24" s="1"/>
  <c r="BU179" i="24" s="1"/>
  <c r="AG157" i="24"/>
  <c r="AG101" i="24"/>
  <c r="AK101" i="24" s="1"/>
  <c r="AG112" i="24"/>
  <c r="AG181" i="24"/>
  <c r="AJ112" i="24"/>
  <c r="AG10" i="24"/>
  <c r="AK10" i="24" s="1"/>
  <c r="AG92" i="24"/>
  <c r="AN92" i="24" s="1"/>
  <c r="AG208" i="24"/>
  <c r="AG196" i="24"/>
  <c r="AG162" i="24"/>
  <c r="AG46" i="24"/>
  <c r="AN46" i="24" s="1"/>
  <c r="CD46" i="24" s="1"/>
  <c r="AG186" i="24"/>
  <c r="AK186" i="24" s="1"/>
  <c r="AG141" i="24"/>
  <c r="AK141" i="24" s="1"/>
  <c r="AT100" i="24"/>
  <c r="AG148" i="24"/>
  <c r="AN148" i="24" s="1"/>
  <c r="CD148" i="24" s="1"/>
  <c r="AG96" i="24"/>
  <c r="AN96" i="24" s="1"/>
  <c r="CD96" i="24" s="1"/>
  <c r="AG206" i="24"/>
  <c r="AK206" i="24" s="1"/>
  <c r="AG177" i="24"/>
  <c r="AN177" i="24" s="1"/>
  <c r="AG85" i="24"/>
  <c r="AN85" i="24" s="1"/>
  <c r="AG51" i="24"/>
  <c r="AG95" i="24"/>
  <c r="AK95" i="24" s="1"/>
  <c r="AG203" i="24"/>
  <c r="AG14" i="24"/>
  <c r="AK14" i="24" s="1"/>
  <c r="AG119" i="24"/>
  <c r="AK119" i="24" s="1"/>
  <c r="AJ122" i="24"/>
  <c r="AJ18" i="24"/>
  <c r="AG167" i="24"/>
  <c r="AG18" i="24"/>
  <c r="AN18" i="24" s="1"/>
  <c r="AG54" i="24"/>
  <c r="AN54" i="24" s="1"/>
  <c r="CD54" i="24" s="1"/>
  <c r="AT105" i="24"/>
  <c r="AG23" i="24"/>
  <c r="AG159" i="24"/>
  <c r="AG105" i="24"/>
  <c r="AK105" i="24" s="1"/>
  <c r="AG145" i="24"/>
  <c r="AN145" i="24" s="1"/>
  <c r="AG36" i="24"/>
  <c r="AN36" i="24" s="1"/>
  <c r="BV36" i="24" s="1"/>
  <c r="AG184" i="24"/>
  <c r="AK184" i="24" s="1"/>
  <c r="AG187" i="24"/>
  <c r="AN187" i="24" s="1"/>
  <c r="AJ21" i="24"/>
  <c r="AJ31" i="24"/>
  <c r="AG199" i="24"/>
  <c r="AK199" i="24" s="1"/>
  <c r="AI13" i="24"/>
  <c r="AJ13" i="24" s="1"/>
  <c r="AG100" i="24"/>
  <c r="AN100" i="24" s="1"/>
  <c r="AX100" i="24" s="1"/>
  <c r="AG27" i="24"/>
  <c r="AK27" i="24" s="1"/>
  <c r="AG125" i="24"/>
  <c r="AN125" i="24" s="1"/>
  <c r="BJ125" i="24" s="1"/>
  <c r="AG192" i="24"/>
  <c r="AK192" i="24" s="1"/>
  <c r="AG205" i="24"/>
  <c r="AK205" i="24" s="1"/>
  <c r="AT87" i="24"/>
  <c r="AG41" i="24"/>
  <c r="AG161" i="24"/>
  <c r="AK161" i="24" s="1"/>
  <c r="AG136" i="24"/>
  <c r="AJ19" i="24"/>
  <c r="AJ123" i="24"/>
  <c r="AG207" i="24"/>
  <c r="AG210" i="24"/>
  <c r="AG134" i="24"/>
  <c r="AK134" i="24" s="1"/>
  <c r="AG188" i="24"/>
  <c r="AK188" i="24" s="1"/>
  <c r="AG163" i="24"/>
  <c r="AK163" i="24" s="1"/>
  <c r="AT60" i="24"/>
  <c r="AJ29" i="24"/>
  <c r="AG149" i="24"/>
  <c r="AK149" i="24" s="1"/>
  <c r="AG87" i="24"/>
  <c r="AK87" i="24" s="1"/>
  <c r="AG50" i="24"/>
  <c r="AK50" i="24" s="1"/>
  <c r="AG60" i="24"/>
  <c r="AK60" i="24" s="1"/>
  <c r="AG28" i="24"/>
  <c r="AN28" i="24" s="1"/>
  <c r="AG72" i="24"/>
  <c r="AN72" i="24" s="1"/>
  <c r="CD72" i="24" s="1"/>
  <c r="AG172" i="24"/>
  <c r="X35" i="24"/>
  <c r="AA35" i="24" s="1"/>
  <c r="AB35" i="24" s="1"/>
  <c r="AC35" i="24" s="1"/>
  <c r="AJ35" i="24" s="1"/>
  <c r="AJ28" i="24"/>
  <c r="AG42" i="24"/>
  <c r="AN42" i="24" s="1"/>
  <c r="BV42" i="24" s="1"/>
  <c r="AJ115" i="24"/>
  <c r="AG55" i="24"/>
  <c r="AJ116" i="24"/>
  <c r="X71" i="24"/>
  <c r="AA71" i="24" s="1"/>
  <c r="AB71" i="24" s="1"/>
  <c r="AC71" i="24" s="1"/>
  <c r="W11" i="24"/>
  <c r="Y11" i="24" s="1"/>
  <c r="AI43" i="24"/>
  <c r="AJ43" i="24" s="1"/>
  <c r="AG31" i="24"/>
  <c r="AN31" i="24" s="1"/>
  <c r="CD31" i="24" s="1"/>
  <c r="AG115" i="24"/>
  <c r="AG64" i="24"/>
  <c r="B119" i="2"/>
  <c r="AG97" i="24"/>
  <c r="AJ33" i="24"/>
  <c r="AG40" i="24"/>
  <c r="AN40" i="24" s="1"/>
  <c r="AG116" i="24"/>
  <c r="AN116" i="24" s="1"/>
  <c r="AG201" i="24"/>
  <c r="AN201" i="24" s="1"/>
  <c r="AG169" i="24"/>
  <c r="AG131" i="24"/>
  <c r="AK131" i="24" s="1"/>
  <c r="AG194" i="24"/>
  <c r="AK194" i="24" s="1"/>
  <c r="AG155" i="24"/>
  <c r="AE65" i="24"/>
  <c r="AF65" i="24" s="1"/>
  <c r="AG82" i="24"/>
  <c r="AN82" i="24" s="1"/>
  <c r="CD82" i="24" s="1"/>
  <c r="AG63" i="24"/>
  <c r="AN63" i="24" s="1"/>
  <c r="CD63" i="24" s="1"/>
  <c r="AG21" i="24"/>
  <c r="AN21" i="24" s="1"/>
  <c r="CD21" i="24" s="1"/>
  <c r="AG19" i="24"/>
  <c r="AN19" i="24" s="1"/>
  <c r="AG91" i="24"/>
  <c r="AK91" i="24" s="1"/>
  <c r="AG79" i="24"/>
  <c r="AN79" i="24" s="1"/>
  <c r="CD79" i="24" s="1"/>
  <c r="AG123" i="24"/>
  <c r="W99" i="24"/>
  <c r="Y99" i="24" s="1"/>
  <c r="AG33" i="24"/>
  <c r="AT42" i="24"/>
  <c r="AE22" i="24"/>
  <c r="AF22" i="24" s="1"/>
  <c r="AI8" i="24"/>
  <c r="AJ8" i="24" s="1"/>
  <c r="AE26" i="24"/>
  <c r="AF26" i="24" s="1"/>
  <c r="AG104" i="24"/>
  <c r="AN104" i="24" s="1"/>
  <c r="AG32" i="24"/>
  <c r="AN32" i="24" s="1"/>
  <c r="AX32" i="24" s="1"/>
  <c r="AG68" i="24"/>
  <c r="AN68" i="24" s="1"/>
  <c r="CD68" i="24" s="1"/>
  <c r="AG86" i="24"/>
  <c r="AK86" i="24" s="1"/>
  <c r="AG59" i="24"/>
  <c r="AN59" i="24" s="1"/>
  <c r="CD59" i="24" s="1"/>
  <c r="W88" i="24"/>
  <c r="Y88" i="24" s="1"/>
  <c r="AG29" i="24"/>
  <c r="AN29" i="24" s="1"/>
  <c r="CD29" i="24" s="1"/>
  <c r="AE43" i="24"/>
  <c r="AT70" i="24"/>
  <c r="AT69" i="24"/>
  <c r="AE13" i="24"/>
  <c r="AF13" i="24" s="1"/>
  <c r="W13" i="24"/>
  <c r="Y13" i="24" s="1"/>
  <c r="AI71" i="24"/>
  <c r="AG69" i="24"/>
  <c r="AK69" i="24" s="1"/>
  <c r="AG53" i="24"/>
  <c r="AN53" i="24" s="1"/>
  <c r="X49" i="24"/>
  <c r="AA49" i="24" s="1"/>
  <c r="AB49" i="24" s="1"/>
  <c r="AC49" i="24" s="1"/>
  <c r="AJ49" i="24" s="1"/>
  <c r="AE71" i="24"/>
  <c r="AF71" i="24" s="1"/>
  <c r="P8" i="24"/>
  <c r="P94" i="24"/>
  <c r="AE102" i="24"/>
  <c r="AF102" i="24" s="1"/>
  <c r="AP94" i="24"/>
  <c r="W61" i="24"/>
  <c r="Y61" i="24" s="1"/>
  <c r="P93" i="24"/>
  <c r="W65" i="24"/>
  <c r="Y65" i="24" s="1"/>
  <c r="W6" i="24"/>
  <c r="Y6" i="24" s="1"/>
  <c r="X22" i="24"/>
  <c r="AA22" i="24" s="1"/>
  <c r="AB22" i="24" s="1"/>
  <c r="AC22" i="24" s="1"/>
  <c r="AP49" i="24"/>
  <c r="P77" i="24"/>
  <c r="X37" i="24"/>
  <c r="AA37" i="24" s="1"/>
  <c r="AB37" i="24" s="1"/>
  <c r="AC37" i="24" s="1"/>
  <c r="AJ37" i="24" s="1"/>
  <c r="W43" i="24"/>
  <c r="Y43" i="24" s="1"/>
  <c r="X102" i="24"/>
  <c r="AA102" i="24" s="1"/>
  <c r="AB102" i="24" s="1"/>
  <c r="AC102" i="24" s="1"/>
  <c r="AJ102" i="24" s="1"/>
  <c r="P35" i="24"/>
  <c r="AP84" i="24"/>
  <c r="P49" i="24"/>
  <c r="P81" i="24"/>
  <c r="AI22" i="24"/>
  <c r="W102" i="24"/>
  <c r="Y102" i="24" s="1"/>
  <c r="X65" i="24"/>
  <c r="AA65" i="24" s="1"/>
  <c r="AB65" i="24" s="1"/>
  <c r="AC65" i="24" s="1"/>
  <c r="AJ65" i="24" s="1"/>
  <c r="Q38" i="24"/>
  <c r="R38" i="24" s="1"/>
  <c r="Q9" i="24"/>
  <c r="R9" i="24" s="1"/>
  <c r="Q15" i="24"/>
  <c r="R15" i="24" s="1"/>
  <c r="AP90" i="24"/>
  <c r="Q90" i="24"/>
  <c r="R90" i="24" s="1"/>
  <c r="Q47" i="24"/>
  <c r="R47" i="24" s="1"/>
  <c r="AP99" i="24"/>
  <c r="Q99" i="24"/>
  <c r="R99" i="24" s="1"/>
  <c r="Q76" i="24"/>
  <c r="R76" i="24" s="1"/>
  <c r="AP80" i="24"/>
  <c r="Q80" i="24"/>
  <c r="R80" i="24" s="1"/>
  <c r="AP6" i="24"/>
  <c r="Q6" i="24"/>
  <c r="R6" i="24" s="1"/>
  <c r="AP61" i="24"/>
  <c r="Q61" i="24"/>
  <c r="R61" i="24" s="1"/>
  <c r="AP75" i="24"/>
  <c r="Q75" i="24"/>
  <c r="R75" i="24" s="1"/>
  <c r="Q103" i="24"/>
  <c r="R103" i="24" s="1"/>
  <c r="AP44" i="24"/>
  <c r="Q44" i="24"/>
  <c r="R44" i="24" s="1"/>
  <c r="Q102" i="24"/>
  <c r="R102" i="24" s="1"/>
  <c r="Q65" i="24"/>
  <c r="R65" i="24" s="1"/>
  <c r="P52" i="24"/>
  <c r="Q52" i="24"/>
  <c r="R52" i="24" s="1"/>
  <c r="AP22" i="24"/>
  <c r="Q22" i="24"/>
  <c r="R22" i="24" s="1"/>
  <c r="AP45" i="24"/>
  <c r="Q45" i="24"/>
  <c r="R45" i="24" s="1"/>
  <c r="P39" i="24"/>
  <c r="Q39" i="24"/>
  <c r="R39" i="24" s="1"/>
  <c r="Q37" i="24"/>
  <c r="R37" i="24" s="1"/>
  <c r="AP88" i="24"/>
  <c r="Q88" i="24"/>
  <c r="R88" i="24" s="1"/>
  <c r="AP67" i="24"/>
  <c r="Q67" i="24"/>
  <c r="R67" i="24" s="1"/>
  <c r="Q77" i="24"/>
  <c r="R77" i="24" s="1"/>
  <c r="Q17" i="24"/>
  <c r="R17" i="24" s="1"/>
  <c r="AP16" i="24"/>
  <c r="Q16" i="24"/>
  <c r="R16" i="24" s="1"/>
  <c r="Q7" i="24"/>
  <c r="R7" i="24" s="1"/>
  <c r="Q98" i="24"/>
  <c r="R98" i="24" s="1"/>
  <c r="P57" i="24"/>
  <c r="Q57" i="24"/>
  <c r="R57" i="24" s="1"/>
  <c r="Q58" i="24"/>
  <c r="R58" i="24" s="1"/>
  <c r="AP43" i="24"/>
  <c r="Q43" i="24"/>
  <c r="R43" i="24" s="1"/>
  <c r="P71" i="24"/>
  <c r="Q71" i="24"/>
  <c r="R71" i="24" s="1"/>
  <c r="P11" i="24"/>
  <c r="Q11" i="24"/>
  <c r="R11" i="24" s="1"/>
  <c r="AP12" i="24"/>
  <c r="Q12" i="24"/>
  <c r="R12" i="24" s="1"/>
  <c r="Q13" i="24"/>
  <c r="R13" i="24" s="1"/>
  <c r="P26" i="24"/>
  <c r="Q26" i="24"/>
  <c r="R26" i="24" s="1"/>
  <c r="AP62" i="24"/>
  <c r="Q62" i="24"/>
  <c r="R62" i="24" s="1"/>
  <c r="AP13" i="24"/>
  <c r="P98" i="24"/>
  <c r="AE93" i="24"/>
  <c r="AF93" i="24" s="1"/>
  <c r="W37" i="24"/>
  <c r="Y37" i="24" s="1"/>
  <c r="AI94" i="24"/>
  <c r="AE49" i="24"/>
  <c r="AF49" i="24" s="1"/>
  <c r="AP57" i="24"/>
  <c r="W94" i="24"/>
  <c r="Y94" i="24" s="1"/>
  <c r="P62" i="24"/>
  <c r="P13" i="24"/>
  <c r="P43" i="24"/>
  <c r="AI93" i="24"/>
  <c r="AE37" i="24"/>
  <c r="AF37" i="24" s="1"/>
  <c r="W8" i="24"/>
  <c r="Y8" i="24" s="1"/>
  <c r="X94" i="24"/>
  <c r="W49" i="24"/>
  <c r="Y49" i="24" s="1"/>
  <c r="P7" i="24"/>
  <c r="P58" i="24"/>
  <c r="X93" i="24"/>
  <c r="AA93" i="24" s="1"/>
  <c r="AB93" i="24" s="1"/>
  <c r="AC93" i="24" s="1"/>
  <c r="P12" i="24"/>
  <c r="AE8" i="24"/>
  <c r="AF8" i="24" s="1"/>
  <c r="P103" i="24"/>
  <c r="P102" i="24"/>
  <c r="BK5" i="24"/>
  <c r="P6" i="24"/>
  <c r="P75" i="24"/>
  <c r="AP65" i="24"/>
  <c r="P65" i="24"/>
  <c r="AE34" i="24"/>
  <c r="AF34" i="24" s="1"/>
  <c r="X99" i="24"/>
  <c r="AA99" i="24" s="1"/>
  <c r="AB99" i="24" s="1"/>
  <c r="AC99" i="24" s="1"/>
  <c r="AJ99" i="24" s="1"/>
  <c r="AI98" i="24"/>
  <c r="W98" i="24"/>
  <c r="Y98" i="24" s="1"/>
  <c r="AE98" i="24"/>
  <c r="AF98" i="24" s="1"/>
  <c r="X98" i="24"/>
  <c r="AA98" i="24" s="1"/>
  <c r="AB98" i="24" s="1"/>
  <c r="AC98" i="24" s="1"/>
  <c r="AE57" i="24"/>
  <c r="AF57" i="24" s="1"/>
  <c r="AI57" i="24"/>
  <c r="W57" i="24"/>
  <c r="Y57" i="24" s="1"/>
  <c r="X57" i="24"/>
  <c r="AA57" i="24" s="1"/>
  <c r="AB57" i="24" s="1"/>
  <c r="AC57" i="24" s="1"/>
  <c r="X58" i="24"/>
  <c r="AA58" i="24" s="1"/>
  <c r="AB58" i="24" s="1"/>
  <c r="AC58" i="24" s="1"/>
  <c r="AJ58" i="24" s="1"/>
  <c r="AE58" i="24"/>
  <c r="AF58" i="24" s="1"/>
  <c r="W58" i="24"/>
  <c r="Y58" i="24" s="1"/>
  <c r="X11" i="24"/>
  <c r="AA11" i="24" s="1"/>
  <c r="AB11" i="24" s="1"/>
  <c r="AC11" i="24" s="1"/>
  <c r="AJ11" i="24" s="1"/>
  <c r="AE11" i="24"/>
  <c r="AF11" i="24" s="1"/>
  <c r="AE12" i="24"/>
  <c r="AF12" i="24" s="1"/>
  <c r="AI12" i="24"/>
  <c r="X12" i="24"/>
  <c r="AA12" i="24" s="1"/>
  <c r="AB12" i="24" s="1"/>
  <c r="AC12" i="24" s="1"/>
  <c r="AP30" i="24"/>
  <c r="AI26" i="24"/>
  <c r="X26" i="24"/>
  <c r="AI62" i="24"/>
  <c r="W62" i="24"/>
  <c r="Y62" i="24" s="1"/>
  <c r="AE62" i="24"/>
  <c r="AF62" i="24" s="1"/>
  <c r="X62" i="24"/>
  <c r="AA62" i="24" s="1"/>
  <c r="AB62" i="24" s="1"/>
  <c r="AC62" i="24" s="1"/>
  <c r="AP20" i="24"/>
  <c r="AP48" i="24"/>
  <c r="AP34" i="24"/>
  <c r="W9" i="24"/>
  <c r="Y9" i="24" s="1"/>
  <c r="AI9" i="24"/>
  <c r="AE9" i="24"/>
  <c r="AF9" i="24" s="1"/>
  <c r="X9" i="24"/>
  <c r="AA9" i="24" s="1"/>
  <c r="AB9" i="24" s="1"/>
  <c r="AC9" i="24" s="1"/>
  <c r="AE90" i="24"/>
  <c r="AF90" i="24" s="1"/>
  <c r="X90" i="24"/>
  <c r="AA90" i="24" s="1"/>
  <c r="AB90" i="24" s="1"/>
  <c r="AC90" i="24" s="1"/>
  <c r="AI90" i="24"/>
  <c r="AE47" i="24"/>
  <c r="AF47" i="24" s="1"/>
  <c r="X47" i="24"/>
  <c r="AA47" i="24" s="1"/>
  <c r="AB47" i="24" s="1"/>
  <c r="AC47" i="24" s="1"/>
  <c r="AJ47" i="24" s="1"/>
  <c r="AE20" i="24"/>
  <c r="AF20" i="24" s="1"/>
  <c r="X20" i="24"/>
  <c r="AA20" i="24" s="1"/>
  <c r="AB20" i="24" s="1"/>
  <c r="AC20" i="24" s="1"/>
  <c r="AI20" i="24"/>
  <c r="P22" i="24"/>
  <c r="W20" i="24"/>
  <c r="Y20" i="24" s="1"/>
  <c r="W34" i="24"/>
  <c r="Y34" i="24" s="1"/>
  <c r="AE99" i="24"/>
  <c r="AF99" i="24" s="1"/>
  <c r="W47" i="24"/>
  <c r="Y47" i="24" s="1"/>
  <c r="AI61" i="24"/>
  <c r="AJ61" i="24" s="1"/>
  <c r="AE61" i="24"/>
  <c r="AF61" i="24" s="1"/>
  <c r="AI75" i="24"/>
  <c r="W75" i="24"/>
  <c r="Y75" i="24" s="1"/>
  <c r="AE75" i="24"/>
  <c r="AF75" i="24" s="1"/>
  <c r="X75" i="24"/>
  <c r="AA75" i="24" s="1"/>
  <c r="AB75" i="24" s="1"/>
  <c r="AC75" i="24" s="1"/>
  <c r="AI103" i="24"/>
  <c r="AE103" i="24"/>
  <c r="AF103" i="24" s="1"/>
  <c r="W103" i="24"/>
  <c r="Y103" i="24" s="1"/>
  <c r="X103" i="24"/>
  <c r="AA103" i="24" s="1"/>
  <c r="AB103" i="24" s="1"/>
  <c r="AC103" i="24" s="1"/>
  <c r="AI44" i="24"/>
  <c r="X44" i="24"/>
  <c r="AA44" i="24" s="1"/>
  <c r="AB44" i="24" s="1"/>
  <c r="AC44" i="24" s="1"/>
  <c r="W44" i="24"/>
  <c r="Y44" i="24" s="1"/>
  <c r="R84" i="24"/>
  <c r="P84" i="24"/>
  <c r="AI52" i="24"/>
  <c r="X52" i="24"/>
  <c r="AA52" i="24" s="1"/>
  <c r="AB52" i="24" s="1"/>
  <c r="AC52" i="24" s="1"/>
  <c r="AE52" i="24"/>
  <c r="AF52" i="24" s="1"/>
  <c r="W52" i="24"/>
  <c r="Y52" i="24" s="1"/>
  <c r="W45" i="24"/>
  <c r="Y45" i="24" s="1"/>
  <c r="AI45" i="24"/>
  <c r="AE45" i="24"/>
  <c r="AF45" i="24" s="1"/>
  <c r="X45" i="24"/>
  <c r="AA45" i="24" s="1"/>
  <c r="AB45" i="24" s="1"/>
  <c r="AC45" i="24" s="1"/>
  <c r="AP8" i="24"/>
  <c r="AP81" i="24"/>
  <c r="AP35" i="24"/>
  <c r="AP93" i="24"/>
  <c r="AP103" i="24"/>
  <c r="AE30" i="24"/>
  <c r="AF30" i="24" s="1"/>
  <c r="W30" i="24"/>
  <c r="Y30" i="24" s="1"/>
  <c r="X30" i="24"/>
  <c r="AA30" i="24" s="1"/>
  <c r="AB30" i="24" s="1"/>
  <c r="AC30" i="24" s="1"/>
  <c r="AI30" i="24"/>
  <c r="W38" i="24"/>
  <c r="Y38" i="24" s="1"/>
  <c r="AI38" i="24"/>
  <c r="AE38" i="24"/>
  <c r="AF38" i="24" s="1"/>
  <c r="X38" i="24"/>
  <c r="AA38" i="24" s="1"/>
  <c r="AB38" i="24" s="1"/>
  <c r="AC38" i="24" s="1"/>
  <c r="W15" i="24"/>
  <c r="Y15" i="24" s="1"/>
  <c r="X15" i="24"/>
  <c r="AA15" i="24" s="1"/>
  <c r="AB15" i="24" s="1"/>
  <c r="AC15" i="24" s="1"/>
  <c r="AJ15" i="24" s="1"/>
  <c r="AP52" i="24"/>
  <c r="AE24" i="24"/>
  <c r="AF24" i="24" s="1"/>
  <c r="W24" i="24"/>
  <c r="Y24" i="24" s="1"/>
  <c r="X24" i="24"/>
  <c r="AA24" i="24" s="1"/>
  <c r="AB24" i="24" s="1"/>
  <c r="AC24" i="24" s="1"/>
  <c r="AI24" i="24"/>
  <c r="AI48" i="24"/>
  <c r="X48" i="24"/>
  <c r="AA48" i="24" s="1"/>
  <c r="AB48" i="24" s="1"/>
  <c r="AC48" i="24" s="1"/>
  <c r="AE66" i="24"/>
  <c r="AF66" i="24" s="1"/>
  <c r="AI66" i="24"/>
  <c r="X66" i="24"/>
  <c r="AA66" i="24" s="1"/>
  <c r="AB66" i="24" s="1"/>
  <c r="AC66" i="24" s="1"/>
  <c r="W66" i="24"/>
  <c r="Y66" i="24" s="1"/>
  <c r="X76" i="24"/>
  <c r="AA76" i="24" s="1"/>
  <c r="AB76" i="24" s="1"/>
  <c r="AC76" i="24" s="1"/>
  <c r="W76" i="24"/>
  <c r="Y76" i="24" s="1"/>
  <c r="AE76" i="24"/>
  <c r="AF76" i="24" s="1"/>
  <c r="AI76" i="24"/>
  <c r="W80" i="24"/>
  <c r="Y80" i="24" s="1"/>
  <c r="AE80" i="24"/>
  <c r="AF80" i="24" s="1"/>
  <c r="AI80" i="24"/>
  <c r="X80" i="24"/>
  <c r="AA80" i="24" s="1"/>
  <c r="AB80" i="24" s="1"/>
  <c r="AC80" i="24" s="1"/>
  <c r="AT53" i="24"/>
  <c r="AP102" i="24"/>
  <c r="W90" i="24"/>
  <c r="Y90" i="24" s="1"/>
  <c r="P45" i="24"/>
  <c r="AE15" i="24"/>
  <c r="AF15" i="24" s="1"/>
  <c r="P44" i="24"/>
  <c r="X34" i="24"/>
  <c r="AA34" i="24" s="1"/>
  <c r="AB34" i="24" s="1"/>
  <c r="AC34" i="24" s="1"/>
  <c r="AJ34" i="24" s="1"/>
  <c r="AE48" i="24"/>
  <c r="AF48" i="24" s="1"/>
  <c r="AP71" i="24"/>
  <c r="AP11" i="24"/>
  <c r="AE39" i="24"/>
  <c r="AF39" i="24" s="1"/>
  <c r="X39" i="24"/>
  <c r="AA39" i="24" s="1"/>
  <c r="AB39" i="24" s="1"/>
  <c r="AC39" i="24" s="1"/>
  <c r="AI39" i="24"/>
  <c r="W39" i="24"/>
  <c r="Y39" i="24" s="1"/>
  <c r="AI84" i="24"/>
  <c r="X84" i="24"/>
  <c r="AA84" i="24" s="1"/>
  <c r="AB84" i="24" s="1"/>
  <c r="AC84" i="24" s="1"/>
  <c r="AE84" i="24"/>
  <c r="AF84" i="24" s="1"/>
  <c r="W84" i="24"/>
  <c r="Y84" i="24" s="1"/>
  <c r="AP26" i="24"/>
  <c r="AI88" i="24"/>
  <c r="AJ88" i="24" s="1"/>
  <c r="AE88" i="24"/>
  <c r="AF88" i="24" s="1"/>
  <c r="AE67" i="24"/>
  <c r="AF67" i="24" s="1"/>
  <c r="AI67" i="24"/>
  <c r="X67" i="24"/>
  <c r="AA67" i="24" s="1"/>
  <c r="AB67" i="24" s="1"/>
  <c r="AC67" i="24" s="1"/>
  <c r="W67" i="24"/>
  <c r="Y67" i="24" s="1"/>
  <c r="X77" i="24"/>
  <c r="AA77" i="24" s="1"/>
  <c r="AB77" i="24" s="1"/>
  <c r="AC77" i="24" s="1"/>
  <c r="AI77" i="24"/>
  <c r="AE77" i="24"/>
  <c r="AF77" i="24" s="1"/>
  <c r="W77" i="24"/>
  <c r="Y77" i="24" s="1"/>
  <c r="AI17" i="24"/>
  <c r="X17" i="24"/>
  <c r="AA17" i="24" s="1"/>
  <c r="AB17" i="24" s="1"/>
  <c r="AC17" i="24" s="1"/>
  <c r="AE17" i="24"/>
  <c r="AF17" i="24" s="1"/>
  <c r="W17" i="24"/>
  <c r="Y17" i="24" s="1"/>
  <c r="AE16" i="24"/>
  <c r="AF16" i="24" s="1"/>
  <c r="X16" i="24"/>
  <c r="AA16" i="24" s="1"/>
  <c r="AB16" i="24" s="1"/>
  <c r="AC16" i="24" s="1"/>
  <c r="AI16" i="24"/>
  <c r="AI81" i="24"/>
  <c r="X81" i="24"/>
  <c r="AA81" i="24" s="1"/>
  <c r="AB81" i="24" s="1"/>
  <c r="AC81" i="24" s="1"/>
  <c r="W81" i="24"/>
  <c r="Y81" i="24" s="1"/>
  <c r="W35" i="24"/>
  <c r="Y35" i="24" s="1"/>
  <c r="AE35" i="24"/>
  <c r="AF35" i="24" s="1"/>
  <c r="W7" i="24"/>
  <c r="Y7" i="24" s="1"/>
  <c r="X7" i="24"/>
  <c r="AA7" i="24" s="1"/>
  <c r="AB7" i="24" s="1"/>
  <c r="AC7" i="24" s="1"/>
  <c r="AI7" i="24"/>
  <c r="AE7" i="24"/>
  <c r="AF7" i="24" s="1"/>
  <c r="AI6" i="24"/>
  <c r="AJ6" i="24" s="1"/>
  <c r="AE6" i="24"/>
  <c r="AF6" i="24" s="1"/>
  <c r="AT50" i="24"/>
  <c r="AT32" i="24"/>
  <c r="AT23" i="24"/>
  <c r="AT25" i="24"/>
  <c r="AT14" i="24"/>
  <c r="AX5" i="24"/>
  <c r="AT5" i="24"/>
  <c r="BL5" i="24"/>
  <c r="AK5" i="24"/>
  <c r="AS5" i="24"/>
  <c r="AQ5" i="24"/>
  <c r="BJ5" i="24"/>
  <c r="BU5" i="24"/>
  <c r="AF110" i="25"/>
  <c r="AJ110" i="25" s="1"/>
  <c r="Z5" i="25"/>
  <c r="AA5" i="25" s="1"/>
  <c r="AB5" i="25" s="1"/>
  <c r="AI5" i="25" s="1"/>
  <c r="AF5" i="25"/>
  <c r="AS40" i="25"/>
  <c r="AS13" i="25"/>
  <c r="AS29" i="25"/>
  <c r="AS44" i="25"/>
  <c r="AS14" i="25"/>
  <c r="AS36" i="25"/>
  <c r="AS9" i="25"/>
  <c r="AS47" i="25"/>
  <c r="AS22" i="25"/>
  <c r="AS88" i="25"/>
  <c r="AS79" i="25"/>
  <c r="AS20" i="25"/>
  <c r="AS96" i="25"/>
  <c r="AS62" i="25"/>
  <c r="AS86" i="25"/>
  <c r="AS93" i="25"/>
  <c r="AS61" i="25"/>
  <c r="AS70" i="25"/>
  <c r="AS26" i="25"/>
  <c r="AS38" i="25"/>
  <c r="AS24" i="25"/>
  <c r="AS104" i="25"/>
  <c r="AS27" i="25"/>
  <c r="AS102" i="25"/>
  <c r="AS17" i="25"/>
  <c r="AS48" i="25"/>
  <c r="AS30" i="25"/>
  <c r="AS103" i="25"/>
  <c r="AS28" i="25"/>
  <c r="AS105" i="25"/>
  <c r="AS81" i="25"/>
  <c r="AS11" i="25"/>
  <c r="AS91" i="25"/>
  <c r="AS49" i="25"/>
  <c r="AS6" i="25"/>
  <c r="AS56" i="25"/>
  <c r="AS76" i="25"/>
  <c r="AS92" i="25"/>
  <c r="AS78" i="25"/>
  <c r="AS94" i="25"/>
  <c r="AS41" i="25"/>
  <c r="AS21" i="25"/>
  <c r="AS8" i="25"/>
  <c r="AS67" i="25"/>
  <c r="AS42" i="25"/>
  <c r="AS101" i="25"/>
  <c r="AS51" i="25"/>
  <c r="AS64" i="25"/>
  <c r="AS12" i="25"/>
  <c r="AS87" i="25"/>
  <c r="AS37" i="25"/>
  <c r="AS82" i="25"/>
  <c r="AS54" i="25"/>
  <c r="AS68" i="25"/>
  <c r="AS52" i="25"/>
  <c r="AS63" i="25"/>
  <c r="AS35" i="25"/>
  <c r="AS53" i="25"/>
  <c r="AS83" i="25"/>
  <c r="AS59" i="25"/>
  <c r="AS100" i="25"/>
  <c r="AS15" i="25"/>
  <c r="AS71" i="25"/>
  <c r="AS97" i="25"/>
  <c r="AS31" i="25"/>
  <c r="AS69" i="25"/>
  <c r="AJ218" i="25"/>
  <c r="AM218" i="25"/>
  <c r="AJ267" i="25"/>
  <c r="AM267" i="25"/>
  <c r="CE267" i="25" s="1"/>
  <c r="AM277" i="25"/>
  <c r="CE277" i="25" s="1"/>
  <c r="AJ277" i="25"/>
  <c r="AJ189" i="25"/>
  <c r="AM189" i="25"/>
  <c r="BW189" i="25" s="1"/>
  <c r="AJ226" i="25"/>
  <c r="AM226" i="25"/>
  <c r="CE226" i="25" s="1"/>
  <c r="AJ261" i="25"/>
  <c r="AM261" i="25"/>
  <c r="CE261" i="25" s="1"/>
  <c r="AM174" i="25"/>
  <c r="BW174" i="25" s="1"/>
  <c r="AJ174" i="25"/>
  <c r="AJ31" i="25"/>
  <c r="AM31" i="25"/>
  <c r="AJ116" i="25"/>
  <c r="AM116" i="25"/>
  <c r="BW116" i="25" s="1"/>
  <c r="AS10" i="25"/>
  <c r="AJ59" i="25"/>
  <c r="AM59" i="25"/>
  <c r="CE59" i="25" s="1"/>
  <c r="AJ295" i="25"/>
  <c r="AM295" i="25"/>
  <c r="CE295" i="25" s="1"/>
  <c r="AM138" i="25"/>
  <c r="BW138" i="25" s="1"/>
  <c r="AJ138" i="25"/>
  <c r="AJ99" i="25"/>
  <c r="AM99" i="25"/>
  <c r="CE99" i="25" s="1"/>
  <c r="AJ26" i="25"/>
  <c r="AM26" i="25"/>
  <c r="CE26" i="25" s="1"/>
  <c r="AM136" i="25"/>
  <c r="BW136" i="25" s="1"/>
  <c r="AJ136" i="25"/>
  <c r="AM98" i="25"/>
  <c r="BW98" i="25" s="1"/>
  <c r="AJ98" i="25"/>
  <c r="AM256" i="25"/>
  <c r="AJ256" i="25"/>
  <c r="AJ173" i="25"/>
  <c r="AM173" i="25"/>
  <c r="CE173" i="25" s="1"/>
  <c r="AS60" i="25"/>
  <c r="AM103" i="25"/>
  <c r="CE103" i="25" s="1"/>
  <c r="AJ103" i="25"/>
  <c r="AJ85" i="25"/>
  <c r="AM85" i="25"/>
  <c r="AJ271" i="25"/>
  <c r="AM271" i="25"/>
  <c r="CE271" i="25" s="1"/>
  <c r="AS57" i="25"/>
  <c r="AJ157" i="25"/>
  <c r="AM157" i="25"/>
  <c r="BW157" i="25" s="1"/>
  <c r="AM102" i="25"/>
  <c r="CE102" i="25" s="1"/>
  <c r="AJ102" i="25"/>
  <c r="AM93" i="25"/>
  <c r="CE93" i="25" s="1"/>
  <c r="AJ93" i="25"/>
  <c r="AM87" i="25"/>
  <c r="CE87" i="25" s="1"/>
  <c r="AJ87" i="25"/>
  <c r="AJ135" i="25"/>
  <c r="AM135" i="25"/>
  <c r="AJ312" i="25"/>
  <c r="AM312" i="25"/>
  <c r="CE312" i="25" s="1"/>
  <c r="AJ15" i="25"/>
  <c r="AM15" i="25"/>
  <c r="BW15" i="25" s="1"/>
  <c r="AM14" i="25"/>
  <c r="CE14" i="25" s="1"/>
  <c r="AJ14" i="25"/>
  <c r="AM259" i="25"/>
  <c r="AJ259" i="25"/>
  <c r="AJ153" i="25"/>
  <c r="AM153" i="25"/>
  <c r="BW153" i="25" s="1"/>
  <c r="AS46" i="25"/>
  <c r="AM178" i="25"/>
  <c r="BW178" i="25" s="1"/>
  <c r="AJ178" i="25"/>
  <c r="AM57" i="25"/>
  <c r="BV57" i="25" s="1"/>
  <c r="AJ57" i="25"/>
  <c r="AJ274" i="25"/>
  <c r="AM274" i="25"/>
  <c r="CE274" i="25" s="1"/>
  <c r="AS23" i="25"/>
  <c r="AM56" i="25"/>
  <c r="AJ56" i="25"/>
  <c r="AS58" i="25"/>
  <c r="AM155" i="25"/>
  <c r="BW155" i="25" s="1"/>
  <c r="AJ155" i="25"/>
  <c r="AJ180" i="25"/>
  <c r="AM180" i="25"/>
  <c r="BW180" i="25" s="1"/>
  <c r="AS90" i="25"/>
  <c r="AM81" i="25"/>
  <c r="CE81" i="25" s="1"/>
  <c r="AJ81" i="25"/>
  <c r="AS33" i="25"/>
  <c r="AM17" i="25"/>
  <c r="CE17" i="25" s="1"/>
  <c r="AJ17" i="25"/>
  <c r="AM66" i="25"/>
  <c r="AJ66" i="25"/>
  <c r="AM288" i="25"/>
  <c r="CE288" i="25" s="1"/>
  <c r="AJ288" i="25"/>
  <c r="AM252" i="25"/>
  <c r="AJ252" i="25"/>
  <c r="AJ246" i="25"/>
  <c r="AM246" i="25"/>
  <c r="CE246" i="25" s="1"/>
  <c r="AM78" i="25"/>
  <c r="CE78" i="25" s="1"/>
  <c r="AJ78" i="25"/>
  <c r="AM35" i="25"/>
  <c r="AJ35" i="25"/>
  <c r="AM53" i="25"/>
  <c r="CE53" i="25" s="1"/>
  <c r="AJ53" i="25"/>
  <c r="AM74" i="25"/>
  <c r="BW74" i="25" s="1"/>
  <c r="AJ74" i="25"/>
  <c r="AM39" i="25"/>
  <c r="BW39" i="25" s="1"/>
  <c r="AJ39" i="25"/>
  <c r="AJ121" i="25"/>
  <c r="AM121" i="25"/>
  <c r="BW121" i="25" s="1"/>
  <c r="AJ170" i="25"/>
  <c r="AM170" i="25"/>
  <c r="BW170" i="25" s="1"/>
  <c r="AM20" i="25"/>
  <c r="CE20" i="25" s="1"/>
  <c r="AJ20" i="25"/>
  <c r="AM262" i="25"/>
  <c r="CE262" i="25" s="1"/>
  <c r="AJ262" i="25"/>
  <c r="AM22" i="25"/>
  <c r="BW22" i="25" s="1"/>
  <c r="AJ22" i="25"/>
  <c r="AM253" i="25"/>
  <c r="AJ253" i="25"/>
  <c r="AJ224" i="25"/>
  <c r="AM224" i="25"/>
  <c r="AM16" i="25"/>
  <c r="BV16" i="25" s="1"/>
  <c r="AJ16" i="25"/>
  <c r="AJ315" i="25"/>
  <c r="AM315" i="25"/>
  <c r="CE315" i="25" s="1"/>
  <c r="AM41" i="25"/>
  <c r="AJ41" i="25"/>
  <c r="AM182" i="25"/>
  <c r="BW182" i="25" s="1"/>
  <c r="AJ182" i="25"/>
  <c r="AJ275" i="25"/>
  <c r="AM275" i="25"/>
  <c r="CE275" i="25" s="1"/>
  <c r="AM55" i="25"/>
  <c r="BW55" i="25" s="1"/>
  <c r="AJ55" i="25"/>
  <c r="AJ235" i="25"/>
  <c r="AM235" i="25"/>
  <c r="CE235" i="25" s="1"/>
  <c r="AM38" i="25"/>
  <c r="CE38" i="25" s="1"/>
  <c r="AJ38" i="25"/>
  <c r="AS73" i="25"/>
  <c r="AS25" i="25"/>
  <c r="AS98" i="25"/>
  <c r="AJ64" i="25"/>
  <c r="AM64" i="25"/>
  <c r="CE64" i="25" s="1"/>
  <c r="AM247" i="25"/>
  <c r="AJ247" i="25"/>
  <c r="AM297" i="25"/>
  <c r="CE297" i="25" s="1"/>
  <c r="AJ297" i="25"/>
  <c r="AM70" i="25"/>
  <c r="CE70" i="25" s="1"/>
  <c r="AJ70" i="25"/>
  <c r="AS43" i="25"/>
  <c r="AM219" i="25"/>
  <c r="CE219" i="25" s="1"/>
  <c r="AJ219" i="25"/>
  <c r="AS45" i="25"/>
  <c r="AJ186" i="25"/>
  <c r="AM186" i="25"/>
  <c r="BW186" i="25" s="1"/>
  <c r="AJ284" i="25"/>
  <c r="AM284" i="25"/>
  <c r="CE284" i="25" s="1"/>
  <c r="AJ51" i="25"/>
  <c r="AM51" i="25"/>
  <c r="CE51" i="25" s="1"/>
  <c r="AJ29" i="25"/>
  <c r="AM29" i="25"/>
  <c r="CE29" i="25" s="1"/>
  <c r="AJ7" i="25"/>
  <c r="AM7" i="25"/>
  <c r="BI7" i="25" s="1"/>
  <c r="AJ112" i="25"/>
  <c r="AM112" i="25"/>
  <c r="BW112" i="25" s="1"/>
  <c r="AM18" i="25"/>
  <c r="AJ18" i="25"/>
  <c r="AM34" i="25"/>
  <c r="BI34" i="25" s="1"/>
  <c r="AJ34" i="25"/>
  <c r="AJ95" i="25"/>
  <c r="AM95" i="25"/>
  <c r="BW95" i="25" s="1"/>
  <c r="AJ278" i="25"/>
  <c r="AM278" i="25"/>
  <c r="CE278" i="25" s="1"/>
  <c r="AJ171" i="25"/>
  <c r="AM171" i="25"/>
  <c r="BW171" i="25" s="1"/>
  <c r="AJ268" i="25"/>
  <c r="AM268" i="25"/>
  <c r="AM152" i="25"/>
  <c r="BW152" i="25" s="1"/>
  <c r="AJ152" i="25"/>
  <c r="AJ89" i="25"/>
  <c r="AM89" i="25"/>
  <c r="AS16" i="25"/>
  <c r="AJ316" i="25"/>
  <c r="AM316" i="25"/>
  <c r="CE316" i="25" s="1"/>
  <c r="AM75" i="25"/>
  <c r="BW75" i="25" s="1"/>
  <c r="AJ75" i="25"/>
  <c r="AJ165" i="25"/>
  <c r="AM165" i="25"/>
  <c r="BW165" i="25" s="1"/>
  <c r="AM150" i="25"/>
  <c r="BW150" i="25" s="1"/>
  <c r="AJ150" i="25"/>
  <c r="AM191" i="25"/>
  <c r="BW191" i="25" s="1"/>
  <c r="AJ191" i="25"/>
  <c r="AM289" i="25"/>
  <c r="CE289" i="25" s="1"/>
  <c r="AJ289" i="25"/>
  <c r="AM293" i="25"/>
  <c r="CE293" i="25" s="1"/>
  <c r="AJ293" i="25"/>
  <c r="AM84" i="25"/>
  <c r="BW84" i="25" s="1"/>
  <c r="AJ84" i="25"/>
  <c r="AM49" i="25"/>
  <c r="CE49" i="25" s="1"/>
  <c r="AJ49" i="25"/>
  <c r="AJ231" i="25"/>
  <c r="AM231" i="25"/>
  <c r="AM160" i="25"/>
  <c r="BW160" i="25" s="1"/>
  <c r="AJ160" i="25"/>
  <c r="AM243" i="25"/>
  <c r="CE243" i="25" s="1"/>
  <c r="AJ243" i="25"/>
  <c r="AJ28" i="25"/>
  <c r="AM28" i="25"/>
  <c r="BW28" i="25" s="1"/>
  <c r="AJ149" i="25"/>
  <c r="AM149" i="25"/>
  <c r="BW149" i="25" s="1"/>
  <c r="AM117" i="25"/>
  <c r="BW117" i="25" s="1"/>
  <c r="AJ117" i="25"/>
  <c r="AS18" i="25"/>
  <c r="AJ72" i="25"/>
  <c r="AM72" i="25"/>
  <c r="BW72" i="25" s="1"/>
  <c r="AS34" i="25"/>
  <c r="AM71" i="25"/>
  <c r="AJ71" i="25"/>
  <c r="AM58" i="25"/>
  <c r="BW58" i="25" s="1"/>
  <c r="AJ58" i="25"/>
  <c r="AJ105" i="25"/>
  <c r="AM105" i="25"/>
  <c r="CE105" i="25" s="1"/>
  <c r="AM97" i="25"/>
  <c r="CE97" i="25" s="1"/>
  <c r="AJ97" i="25"/>
  <c r="AM279" i="25"/>
  <c r="CE279" i="25" s="1"/>
  <c r="AJ279" i="25"/>
  <c r="AJ129" i="25"/>
  <c r="AM129" i="25"/>
  <c r="BW129" i="25" s="1"/>
  <c r="AM92" i="25"/>
  <c r="CE92" i="25" s="1"/>
  <c r="AJ92" i="25"/>
  <c r="AM251" i="25"/>
  <c r="CE251" i="25" s="1"/>
  <c r="AJ251" i="25"/>
  <c r="AM32" i="25"/>
  <c r="BW32" i="25" s="1"/>
  <c r="AJ32" i="25"/>
  <c r="AM290" i="25"/>
  <c r="CE290" i="25" s="1"/>
  <c r="AJ290" i="25"/>
  <c r="AJ69" i="25"/>
  <c r="AM69" i="25"/>
  <c r="CE69" i="25" s="1"/>
  <c r="AJ188" i="25"/>
  <c r="AM188" i="25"/>
  <c r="BW188" i="25" s="1"/>
  <c r="AJ90" i="25"/>
  <c r="AM90" i="25"/>
  <c r="BW90" i="25" s="1"/>
  <c r="AM9" i="25"/>
  <c r="BW9" i="25" s="1"/>
  <c r="AJ9" i="25"/>
  <c r="AJ236" i="25"/>
  <c r="AM236" i="25"/>
  <c r="CE236" i="25" s="1"/>
  <c r="AJ67" i="25"/>
  <c r="AM67" i="25"/>
  <c r="CE67" i="25" s="1"/>
  <c r="AJ273" i="25"/>
  <c r="AM273" i="25"/>
  <c r="AJ10" i="25"/>
  <c r="AM10" i="25"/>
  <c r="BI10" i="25" s="1"/>
  <c r="AJ281" i="25"/>
  <c r="AM281" i="25"/>
  <c r="CE281" i="25" s="1"/>
  <c r="AJ45" i="25"/>
  <c r="AM45" i="25"/>
  <c r="CE45" i="25" s="1"/>
  <c r="AS66" i="25"/>
  <c r="AM305" i="25"/>
  <c r="CE305" i="25" s="1"/>
  <c r="AJ305" i="25"/>
  <c r="AJ241" i="25"/>
  <c r="AM241" i="25"/>
  <c r="CE241" i="25" s="1"/>
  <c r="AJ104" i="25"/>
  <c r="AM104" i="25"/>
  <c r="CE104" i="25" s="1"/>
  <c r="AJ61" i="25"/>
  <c r="AM61" i="25"/>
  <c r="CE61" i="25" s="1"/>
  <c r="AS89" i="25"/>
  <c r="AS80" i="25"/>
  <c r="AJ265" i="25"/>
  <c r="AM265" i="25"/>
  <c r="AJ11" i="25"/>
  <c r="AM11" i="25"/>
  <c r="BW11" i="25" s="1"/>
  <c r="AJ115" i="25"/>
  <c r="AM115" i="25"/>
  <c r="BW115" i="25" s="1"/>
  <c r="AS19" i="25"/>
  <c r="AJ141" i="25"/>
  <c r="AM141" i="25"/>
  <c r="BW141" i="25" s="1"/>
  <c r="AM280" i="25"/>
  <c r="CE280" i="25" s="1"/>
  <c r="AJ280" i="25"/>
  <c r="AJ304" i="25"/>
  <c r="AM304" i="25"/>
  <c r="CE304" i="25" s="1"/>
  <c r="AJ220" i="25"/>
  <c r="AM220" i="25"/>
  <c r="AJ65" i="25"/>
  <c r="AM65" i="25"/>
  <c r="BW65" i="25" s="1"/>
  <c r="AM122" i="25"/>
  <c r="BW122" i="25" s="1"/>
  <c r="AJ122" i="25"/>
  <c r="AJ287" i="25"/>
  <c r="AM287" i="25"/>
  <c r="CE287" i="25" s="1"/>
  <c r="AM223" i="25"/>
  <c r="AJ223" i="25"/>
  <c r="AJ299" i="25"/>
  <c r="AM299" i="25"/>
  <c r="AM43" i="25"/>
  <c r="BW43" i="25" s="1"/>
  <c r="AJ43" i="25"/>
  <c r="AM101" i="25"/>
  <c r="CE101" i="25" s="1"/>
  <c r="AJ101" i="25"/>
  <c r="AJ225" i="25"/>
  <c r="AM225" i="25"/>
  <c r="AJ100" i="25"/>
  <c r="AM100" i="25"/>
  <c r="CE100" i="25" s="1"/>
  <c r="AS72" i="25"/>
  <c r="AJ177" i="25"/>
  <c r="AM177" i="25"/>
  <c r="BW177" i="25" s="1"/>
  <c r="AJ229" i="25"/>
  <c r="AM229" i="25"/>
  <c r="CE229" i="25" s="1"/>
  <c r="AM25" i="25"/>
  <c r="BW25" i="25" s="1"/>
  <c r="AJ25" i="25"/>
  <c r="AJ62" i="25"/>
  <c r="AM62" i="25"/>
  <c r="AM37" i="25"/>
  <c r="CE37" i="25" s="1"/>
  <c r="AJ37" i="25"/>
  <c r="AM291" i="25"/>
  <c r="CE291" i="25" s="1"/>
  <c r="AJ291" i="25"/>
  <c r="AM263" i="25"/>
  <c r="CE263" i="25" s="1"/>
  <c r="AJ263" i="25"/>
  <c r="AM185" i="25"/>
  <c r="BW185" i="25" s="1"/>
  <c r="AJ119" i="25"/>
  <c r="AM119" i="25"/>
  <c r="BW119" i="25" s="1"/>
  <c r="AM24" i="25"/>
  <c r="BW24" i="25" s="1"/>
  <c r="AJ24" i="25"/>
  <c r="AJ161" i="25"/>
  <c r="AM161" i="25"/>
  <c r="BW161" i="25" s="1"/>
  <c r="AJ282" i="25"/>
  <c r="AM282" i="25"/>
  <c r="CE282" i="25" s="1"/>
  <c r="AM270" i="25"/>
  <c r="CE270" i="25" s="1"/>
  <c r="AJ270" i="25"/>
  <c r="AJ6" i="25"/>
  <c r="AM6" i="25"/>
  <c r="CE6" i="25" s="1"/>
  <c r="AJ310" i="25"/>
  <c r="AM310" i="25"/>
  <c r="CE310" i="25" s="1"/>
  <c r="AJ12" i="25"/>
  <c r="AM12" i="25"/>
  <c r="CE12" i="25" s="1"/>
  <c r="AS50" i="25"/>
  <c r="AS65" i="25"/>
  <c r="AS75" i="25"/>
  <c r="AS84" i="25"/>
  <c r="AM79" i="25"/>
  <c r="CE79" i="25" s="1"/>
  <c r="AJ79" i="25"/>
  <c r="AM142" i="25"/>
  <c r="BW142" i="25" s="1"/>
  <c r="AJ142" i="25"/>
  <c r="AM13" i="25"/>
  <c r="BW13" i="25" s="1"/>
  <c r="AJ13" i="25"/>
  <c r="AS39" i="25"/>
  <c r="AM36" i="25"/>
  <c r="CE36" i="25" s="1"/>
  <c r="AJ36" i="25"/>
  <c r="AJ276" i="25"/>
  <c r="AM276" i="25"/>
  <c r="CE276" i="25" s="1"/>
  <c r="AM76" i="25"/>
  <c r="CE76" i="25" s="1"/>
  <c r="AJ76" i="25"/>
  <c r="AJ269" i="25"/>
  <c r="AM269" i="25"/>
  <c r="CE269" i="25" s="1"/>
  <c r="AJ195" i="25"/>
  <c r="AM195" i="25"/>
  <c r="BW195" i="25" s="1"/>
  <c r="AJ202" i="25"/>
  <c r="AM202" i="25"/>
  <c r="BW202" i="25" s="1"/>
  <c r="AM130" i="25"/>
  <c r="BW130" i="25" s="1"/>
  <c r="AJ130" i="25"/>
  <c r="AM52" i="25"/>
  <c r="AJ52" i="25"/>
  <c r="AJ145" i="25"/>
  <c r="AM145" i="25"/>
  <c r="BW145" i="25" s="1"/>
  <c r="AM46" i="25"/>
  <c r="BW46" i="25" s="1"/>
  <c r="AJ46" i="25"/>
  <c r="AJ183" i="25"/>
  <c r="AM183" i="25"/>
  <c r="BW183" i="25" s="1"/>
  <c r="AJ47" i="25"/>
  <c r="AM47" i="25"/>
  <c r="CE47" i="25" s="1"/>
  <c r="AM19" i="25"/>
  <c r="BI19" i="25" s="1"/>
  <c r="AJ19" i="25"/>
  <c r="AM23" i="25"/>
  <c r="BV23" i="25" s="1"/>
  <c r="AJ23" i="25"/>
  <c r="AJ140" i="25"/>
  <c r="AM140" i="25"/>
  <c r="BW140" i="25" s="1"/>
  <c r="AJ283" i="25"/>
  <c r="AM283" i="25"/>
  <c r="CE283" i="25" s="1"/>
  <c r="AM187" i="25"/>
  <c r="BW187" i="25" s="1"/>
  <c r="AJ187" i="25"/>
  <c r="AJ249" i="25"/>
  <c r="AM249" i="25"/>
  <c r="CE249" i="25" s="1"/>
  <c r="AS95" i="25"/>
  <c r="AJ169" i="25"/>
  <c r="AM169" i="25"/>
  <c r="BW169" i="25" s="1"/>
  <c r="AJ137" i="25"/>
  <c r="AS99" i="25"/>
  <c r="AM60" i="25"/>
  <c r="BW60" i="25" s="1"/>
  <c r="AJ60" i="25"/>
  <c r="AJ222" i="25"/>
  <c r="AM222" i="25"/>
  <c r="AM96" i="25"/>
  <c r="CE96" i="25" s="1"/>
  <c r="AJ96" i="25"/>
  <c r="AJ248" i="25"/>
  <c r="AM248" i="25"/>
  <c r="CE248" i="25" s="1"/>
  <c r="AM54" i="25"/>
  <c r="CE54" i="25" s="1"/>
  <c r="AJ54" i="25"/>
  <c r="AJ83" i="25"/>
  <c r="AM83" i="25"/>
  <c r="CE83" i="25" s="1"/>
  <c r="AJ309" i="25"/>
  <c r="AM309" i="25"/>
  <c r="CE309" i="25" s="1"/>
  <c r="AJ238" i="25"/>
  <c r="AM238" i="25"/>
  <c r="CE238" i="25" s="1"/>
  <c r="AM192" i="25"/>
  <c r="BW192" i="25" s="1"/>
  <c r="AJ192" i="25"/>
  <c r="AJ307" i="25"/>
  <c r="AM307" i="25"/>
  <c r="CE307" i="25" s="1"/>
  <c r="AM203" i="25"/>
  <c r="BW203" i="25" s="1"/>
  <c r="AJ203" i="25"/>
  <c r="AJ286" i="25"/>
  <c r="AM286" i="25"/>
  <c r="CE286" i="25" s="1"/>
  <c r="AJ258" i="25"/>
  <c r="AM258" i="25"/>
  <c r="CE258" i="25" s="1"/>
  <c r="AJ21" i="25"/>
  <c r="AM21" i="25"/>
  <c r="CE21" i="25" s="1"/>
  <c r="AJ308" i="25"/>
  <c r="AM308" i="25"/>
  <c r="CE308" i="25" s="1"/>
  <c r="AJ40" i="25"/>
  <c r="AM40" i="25"/>
  <c r="AM285" i="25"/>
  <c r="CE285" i="25" s="1"/>
  <c r="AJ285" i="25"/>
  <c r="AS74" i="25"/>
  <c r="AJ167" i="25"/>
  <c r="AM167" i="25"/>
  <c r="BW167" i="25" s="1"/>
  <c r="AM86" i="25"/>
  <c r="CE86" i="25" s="1"/>
  <c r="AJ86" i="25"/>
  <c r="AJ318" i="25"/>
  <c r="AM318" i="25"/>
  <c r="CE318" i="25" s="1"/>
  <c r="AM8" i="25"/>
  <c r="BW8" i="25" s="1"/>
  <c r="AJ8" i="25"/>
  <c r="AJ237" i="25"/>
  <c r="AM237" i="25"/>
  <c r="CE237" i="25" s="1"/>
  <c r="AM118" i="25"/>
  <c r="BW118" i="25" s="1"/>
  <c r="AJ118" i="25"/>
  <c r="AJ228" i="25"/>
  <c r="AM228" i="25"/>
  <c r="AJ48" i="25"/>
  <c r="AM48" i="25"/>
  <c r="CE48" i="25" s="1"/>
  <c r="AJ245" i="25"/>
  <c r="AM245" i="25"/>
  <c r="CE245" i="25" s="1"/>
  <c r="AM232" i="25"/>
  <c r="CE232" i="25" s="1"/>
  <c r="AJ232" i="25"/>
  <c r="AM88" i="25"/>
  <c r="BW88" i="25" s="1"/>
  <c r="AJ88" i="25"/>
  <c r="AM199" i="25"/>
  <c r="BW199" i="25" s="1"/>
  <c r="AJ199" i="25"/>
  <c r="AM30" i="25"/>
  <c r="BW30" i="25" s="1"/>
  <c r="AJ30" i="25"/>
  <c r="AJ250" i="25"/>
  <c r="AM250" i="25"/>
  <c r="AM68" i="25"/>
  <c r="AJ68" i="25"/>
  <c r="AM82" i="25"/>
  <c r="CE82" i="25" s="1"/>
  <c r="AJ82" i="25"/>
  <c r="AM73" i="25"/>
  <c r="CE73" i="25" s="1"/>
  <c r="AJ73" i="25"/>
  <c r="AM190" i="25"/>
  <c r="BW190" i="25" s="1"/>
  <c r="AJ190" i="25"/>
  <c r="AJ240" i="25"/>
  <c r="AM240" i="25"/>
  <c r="CE240" i="25" s="1"/>
  <c r="AM300" i="25"/>
  <c r="CE300" i="25" s="1"/>
  <c r="AJ300" i="25"/>
  <c r="AJ163" i="25"/>
  <c r="AM163" i="25"/>
  <c r="BW163" i="25" s="1"/>
  <c r="AJ301" i="25"/>
  <c r="AM301" i="25"/>
  <c r="CE301" i="25" s="1"/>
  <c r="AJ175" i="25"/>
  <c r="AM175" i="25"/>
  <c r="BW175" i="25" s="1"/>
  <c r="AM227" i="25"/>
  <c r="AJ227" i="25"/>
  <c r="AM239" i="25"/>
  <c r="AJ239" i="25"/>
  <c r="AJ205" i="25"/>
  <c r="AM205" i="25"/>
  <c r="BW205" i="25" s="1"/>
  <c r="AS55" i="25"/>
  <c r="AS32" i="25"/>
  <c r="AJ264" i="25"/>
  <c r="AS7" i="25"/>
  <c r="AM77" i="25"/>
  <c r="AJ77" i="25"/>
  <c r="AM63" i="25"/>
  <c r="AJ63" i="25"/>
  <c r="AJ27" i="25"/>
  <c r="AM27" i="25"/>
  <c r="BW27" i="25" s="1"/>
  <c r="AJ80" i="25"/>
  <c r="AM80" i="25"/>
  <c r="BW80" i="25" s="1"/>
  <c r="AM303" i="25"/>
  <c r="CE303" i="25" s="1"/>
  <c r="AJ303" i="25"/>
  <c r="AJ233" i="25"/>
  <c r="AM233" i="25"/>
  <c r="AM50" i="25"/>
  <c r="BW50" i="25" s="1"/>
  <c r="AJ50" i="25"/>
  <c r="AJ306" i="25"/>
  <c r="AM306" i="25"/>
  <c r="CE306" i="25" s="1"/>
  <c r="AM33" i="25"/>
  <c r="BW33" i="25" s="1"/>
  <c r="AJ33" i="25"/>
  <c r="AM302" i="25"/>
  <c r="CE302" i="25" s="1"/>
  <c r="AJ302" i="25"/>
  <c r="AM234" i="25"/>
  <c r="AJ234" i="25"/>
  <c r="AJ164" i="25"/>
  <c r="AM164" i="25"/>
  <c r="BW164" i="25" s="1"/>
  <c r="AJ91" i="25"/>
  <c r="AM91" i="25"/>
  <c r="AJ314" i="25"/>
  <c r="AM314" i="25"/>
  <c r="CE314" i="25" s="1"/>
  <c r="AJ193" i="25"/>
  <c r="AM193" i="25"/>
  <c r="BW193" i="25" s="1"/>
  <c r="AS85" i="25"/>
  <c r="AS77" i="25"/>
  <c r="AJ206" i="25"/>
  <c r="AM206" i="25"/>
  <c r="BW206" i="25" s="1"/>
  <c r="AM294" i="25"/>
  <c r="CE294" i="25" s="1"/>
  <c r="AJ294" i="25"/>
  <c r="AM42" i="25"/>
  <c r="CE42" i="25" s="1"/>
  <c r="AJ42" i="25"/>
  <c r="AJ44" i="25"/>
  <c r="AM44" i="25"/>
  <c r="CE44" i="25" s="1"/>
  <c r="AM94" i="25"/>
  <c r="CE94" i="25" s="1"/>
  <c r="AJ94" i="25"/>
  <c r="AM317" i="25"/>
  <c r="CE317" i="25" s="1"/>
  <c r="AJ317" i="25"/>
  <c r="AJ111" i="25"/>
  <c r="AM111" i="25"/>
  <c r="BW111" i="25" s="1"/>
  <c r="AM204" i="25"/>
  <c r="BW204" i="25" s="1"/>
  <c r="AJ204" i="25"/>
  <c r="AT10" i="24"/>
  <c r="AT36" i="24"/>
  <c r="AT78" i="24"/>
  <c r="AT95" i="24"/>
  <c r="AT104" i="24"/>
  <c r="AT27" i="24"/>
  <c r="AK293" i="24"/>
  <c r="AK316" i="24"/>
  <c r="AK246" i="24"/>
  <c r="AK305" i="24"/>
  <c r="AK180" i="24"/>
  <c r="AN180" i="24"/>
  <c r="AK197" i="24"/>
  <c r="AN197" i="24"/>
  <c r="BJ197" i="24" s="1"/>
  <c r="AN175" i="24"/>
  <c r="CD175" i="24" s="1"/>
  <c r="AK175" i="24"/>
  <c r="AK178" i="24"/>
  <c r="AN178" i="24"/>
  <c r="AK127" i="24"/>
  <c r="AN127" i="24"/>
  <c r="BU127" i="24" s="1"/>
  <c r="AK200" i="24"/>
  <c r="AN200" i="24"/>
  <c r="AK124" i="24"/>
  <c r="AN124" i="24"/>
  <c r="AK138" i="24"/>
  <c r="AN138" i="24"/>
  <c r="CD138" i="24" s="1"/>
  <c r="AK129" i="24"/>
  <c r="AN129" i="24"/>
  <c r="AN135" i="24"/>
  <c r="CD135" i="24" s="1"/>
  <c r="AK135" i="24"/>
  <c r="AK173" i="24"/>
  <c r="AN173" i="24"/>
  <c r="AK118" i="24"/>
  <c r="AN118" i="24"/>
  <c r="AN164" i="24"/>
  <c r="AK164" i="24"/>
  <c r="AK121" i="24"/>
  <c r="AN121" i="24"/>
  <c r="BU121" i="24" s="1"/>
  <c r="AK202" i="24"/>
  <c r="AN202" i="24"/>
  <c r="AN301" i="24"/>
  <c r="CD301" i="24" s="1"/>
  <c r="AN111" i="24"/>
  <c r="AX111" i="24" s="1"/>
  <c r="AK111" i="24"/>
  <c r="AK160" i="24"/>
  <c r="AN160" i="24"/>
  <c r="AN126" i="24"/>
  <c r="AK126" i="24"/>
  <c r="AN140" i="24"/>
  <c r="AK140" i="24"/>
  <c r="AN293" i="24"/>
  <c r="AK317" i="24"/>
  <c r="AK231" i="24"/>
  <c r="AN317" i="24"/>
  <c r="AN246" i="24"/>
  <c r="CD246" i="24" s="1"/>
  <c r="AN316" i="24"/>
  <c r="CD316" i="24" s="1"/>
  <c r="AN223" i="24"/>
  <c r="AK223" i="24"/>
  <c r="AK225" i="24"/>
  <c r="AN225" i="24"/>
  <c r="AN217" i="24"/>
  <c r="AK217" i="24"/>
  <c r="AN248" i="24"/>
  <c r="AK248" i="24"/>
  <c r="AK265" i="24"/>
  <c r="AN265" i="24"/>
  <c r="AK286" i="24"/>
  <c r="AN286" i="24"/>
  <c r="CD286" i="24" s="1"/>
  <c r="AK222" i="24"/>
  <c r="AN222" i="24"/>
  <c r="AK251" i="24"/>
  <c r="AN251" i="24"/>
  <c r="CD251" i="24" s="1"/>
  <c r="AK308" i="24"/>
  <c r="AN308" i="24"/>
  <c r="CD308" i="24" s="1"/>
  <c r="AK236" i="24"/>
  <c r="AN236" i="24"/>
  <c r="AN224" i="24"/>
  <c r="AK224" i="24"/>
  <c r="AN303" i="24"/>
  <c r="CD303" i="24" s="1"/>
  <c r="AK303" i="24"/>
  <c r="AK267" i="24"/>
  <c r="AN267" i="24"/>
  <c r="AN275" i="24"/>
  <c r="CD275" i="24" s="1"/>
  <c r="AK275" i="24"/>
  <c r="AK276" i="24"/>
  <c r="AN276" i="24"/>
  <c r="CD276" i="24" s="1"/>
  <c r="AN298" i="24"/>
  <c r="CD298" i="24" s="1"/>
  <c r="AK298" i="24"/>
  <c r="AN280" i="24"/>
  <c r="CD280" i="24" s="1"/>
  <c r="AK280" i="24"/>
  <c r="AN260" i="24"/>
  <c r="CD260" i="24" s="1"/>
  <c r="AK260" i="24"/>
  <c r="AK237" i="24"/>
  <c r="AN237" i="24"/>
  <c r="CD237" i="24" s="1"/>
  <c r="AN289" i="24"/>
  <c r="CD289" i="24" s="1"/>
  <c r="AK289" i="24"/>
  <c r="AK257" i="24"/>
  <c r="AN257" i="24"/>
  <c r="CD257" i="24" s="1"/>
  <c r="AK259" i="24"/>
  <c r="AN259" i="24"/>
  <c r="AK234" i="24"/>
  <c r="AN234" i="24"/>
  <c r="CD234" i="24" s="1"/>
  <c r="AN315" i="24"/>
  <c r="CD315" i="24" s="1"/>
  <c r="AK274" i="24"/>
  <c r="AN274" i="24"/>
  <c r="CD274" i="24" s="1"/>
  <c r="AN244" i="24"/>
  <c r="CD244" i="24" s="1"/>
  <c r="AK244" i="24"/>
  <c r="AN221" i="24"/>
  <c r="AK221" i="24"/>
  <c r="AN229" i="24"/>
  <c r="AK229" i="24"/>
  <c r="AK230" i="24"/>
  <c r="AN230" i="24"/>
  <c r="AK311" i="24"/>
  <c r="AN311" i="24"/>
  <c r="CD311" i="24" s="1"/>
  <c r="AN288" i="24"/>
  <c r="CD288" i="24" s="1"/>
  <c r="AK288" i="24"/>
  <c r="AN219" i="24"/>
  <c r="AK219" i="24"/>
  <c r="AK295" i="24"/>
  <c r="AN295" i="24"/>
  <c r="CD295" i="24" s="1"/>
  <c r="AK272" i="24"/>
  <c r="AN272" i="24"/>
  <c r="CD272" i="24" s="1"/>
  <c r="AK228" i="24"/>
  <c r="AN228" i="24"/>
  <c r="CD228" i="24" s="1"/>
  <c r="AN252" i="24"/>
  <c r="CD252" i="24" s="1"/>
  <c r="AK252" i="24"/>
  <c r="AN294" i="24"/>
  <c r="CD294" i="24" s="1"/>
  <c r="AK294" i="24"/>
  <c r="AK242" i="24"/>
  <c r="AN242" i="24"/>
  <c r="CD242" i="24" s="1"/>
  <c r="AK220" i="24"/>
  <c r="AN220" i="24"/>
  <c r="CD220" i="24" s="1"/>
  <c r="AK235" i="24"/>
  <c r="AN235" i="24"/>
  <c r="CD235" i="24" s="1"/>
  <c r="AK255" i="24"/>
  <c r="AN255" i="24"/>
  <c r="AN287" i="24"/>
  <c r="CD287" i="24" s="1"/>
  <c r="AK287" i="24"/>
  <c r="AK301" i="24"/>
  <c r="AK310" i="24"/>
  <c r="AN310" i="24"/>
  <c r="CD310" i="24" s="1"/>
  <c r="AK304" i="24"/>
  <c r="AN304" i="24"/>
  <c r="CD304" i="24" s="1"/>
  <c r="AN302" i="24"/>
  <c r="AK302" i="24"/>
  <c r="AN269" i="24"/>
  <c r="CD269" i="24" s="1"/>
  <c r="AK269" i="24"/>
  <c r="AK240" i="24"/>
  <c r="AN240" i="24"/>
  <c r="AK241" i="24"/>
  <c r="AN241" i="24"/>
  <c r="CD241" i="24" s="1"/>
  <c r="AN305" i="24"/>
  <c r="CD305" i="24" s="1"/>
  <c r="AK315" i="24"/>
  <c r="AN273" i="24"/>
  <c r="AK273" i="24"/>
  <c r="AN231" i="24"/>
  <c r="CD231" i="24" s="1"/>
  <c r="BQ106" i="19"/>
  <c r="AJ120" i="25" l="1"/>
  <c r="AJ159" i="25"/>
  <c r="AM151" i="25"/>
  <c r="BW151" i="25" s="1"/>
  <c r="AJ296" i="25"/>
  <c r="AM179" i="25"/>
  <c r="BW179" i="25" s="1"/>
  <c r="AJ194" i="25"/>
  <c r="AJ124" i="25"/>
  <c r="AM208" i="25"/>
  <c r="BW208" i="25" s="1"/>
  <c r="AM196" i="25"/>
  <c r="BW196" i="25" s="1"/>
  <c r="AJ134" i="25"/>
  <c r="AM166" i="25"/>
  <c r="BW166" i="25" s="1"/>
  <c r="AJ266" i="25"/>
  <c r="AJ168" i="25"/>
  <c r="AM244" i="25"/>
  <c r="CE244" i="25" s="1"/>
  <c r="AM260" i="25"/>
  <c r="CE260" i="25" s="1"/>
  <c r="AM209" i="25"/>
  <c r="BW209" i="25" s="1"/>
  <c r="AM298" i="25"/>
  <c r="CE298" i="25" s="1"/>
  <c r="AJ257" i="25"/>
  <c r="AM176" i="25"/>
  <c r="BW176" i="25" s="1"/>
  <c r="AJ114" i="25"/>
  <c r="AJ254" i="25"/>
  <c r="AM158" i="25"/>
  <c r="BW158" i="25" s="1"/>
  <c r="AM143" i="25"/>
  <c r="BW143" i="25" s="1"/>
  <c r="AM127" i="25"/>
  <c r="BW127" i="25" s="1"/>
  <c r="AM313" i="25"/>
  <c r="CE313" i="25" s="1"/>
  <c r="AM131" i="25"/>
  <c r="BJ131" i="25" s="1"/>
  <c r="AM123" i="25"/>
  <c r="BW123" i="25" s="1"/>
  <c r="AJ200" i="25"/>
  <c r="AJ144" i="25"/>
  <c r="AM181" i="25"/>
  <c r="BW181" i="25" s="1"/>
  <c r="AJ146" i="25"/>
  <c r="AM198" i="25"/>
  <c r="BW198" i="25" s="1"/>
  <c r="AM272" i="25"/>
  <c r="CE272" i="25" s="1"/>
  <c r="AM197" i="25"/>
  <c r="BW197" i="25" s="1"/>
  <c r="AM242" i="25"/>
  <c r="CE242" i="25" s="1"/>
  <c r="AJ147" i="25"/>
  <c r="AM113" i="25"/>
  <c r="BW113" i="25" s="1"/>
  <c r="AJ162" i="25"/>
  <c r="AJ230" i="25"/>
  <c r="AJ154" i="25"/>
  <c r="AJ207" i="25"/>
  <c r="AM148" i="25"/>
  <c r="BW148" i="25" s="1"/>
  <c r="AM221" i="25"/>
  <c r="AK83" i="24"/>
  <c r="AJ201" i="25"/>
  <c r="AJ128" i="25"/>
  <c r="AJ311" i="25"/>
  <c r="AJ292" i="25"/>
  <c r="AM125" i="25"/>
  <c r="BW125" i="25" s="1"/>
  <c r="AM126" i="25"/>
  <c r="BW126" i="25" s="1"/>
  <c r="AK239" i="24"/>
  <c r="AJ132" i="25"/>
  <c r="AM172" i="25"/>
  <c r="BW172" i="25" s="1"/>
  <c r="AJ255" i="25"/>
  <c r="AM156" i="25"/>
  <c r="BW156" i="25" s="1"/>
  <c r="AK110" i="24"/>
  <c r="AM210" i="25"/>
  <c r="BW210" i="25" s="1"/>
  <c r="AJ139" i="25"/>
  <c r="AM133" i="25"/>
  <c r="BJ133" i="25" s="1"/>
  <c r="AM184" i="25"/>
  <c r="BW184" i="25" s="1"/>
  <c r="AN74" i="24"/>
  <c r="CD74" i="24" s="1"/>
  <c r="AK238" i="24"/>
  <c r="AN282" i="24"/>
  <c r="AQ282" i="24" s="1"/>
  <c r="AK128" i="24"/>
  <c r="BV104" i="24"/>
  <c r="AQ104" i="24"/>
  <c r="AG43" i="24"/>
  <c r="AK43" i="24" s="1"/>
  <c r="AF43" i="24"/>
  <c r="BU145" i="24"/>
  <c r="CD145" i="24"/>
  <c r="AX53" i="24"/>
  <c r="CD53" i="24"/>
  <c r="BW120" i="25"/>
  <c r="CE120" i="25"/>
  <c r="AX120" i="24"/>
  <c r="CD120" i="24"/>
  <c r="CE133" i="25"/>
  <c r="BW137" i="25"/>
  <c r="CE137" i="25"/>
  <c r="BW35" i="25"/>
  <c r="CE35" i="25"/>
  <c r="AK203" i="24"/>
  <c r="AK307" i="24"/>
  <c r="AX83" i="24"/>
  <c r="CD83" i="24"/>
  <c r="Y212" i="24"/>
  <c r="X212" i="24"/>
  <c r="AA212" i="24" s="1"/>
  <c r="AB212" i="24" s="1"/>
  <c r="AC212" i="24" s="1"/>
  <c r="AE212" i="24"/>
  <c r="AI212" i="24"/>
  <c r="BW124" i="25"/>
  <c r="CE124" i="25"/>
  <c r="BI18" i="25"/>
  <c r="CE18" i="25"/>
  <c r="BK18" i="24"/>
  <c r="CD18" i="24"/>
  <c r="AK208" i="24"/>
  <c r="CE131" i="25"/>
  <c r="BW162" i="25"/>
  <c r="CE162" i="25"/>
  <c r="BI77" i="25"/>
  <c r="CE77" i="25"/>
  <c r="BW71" i="25"/>
  <c r="CE71" i="25"/>
  <c r="AK181" i="24"/>
  <c r="BV66" i="25"/>
  <c r="CE66" i="25"/>
  <c r="BW91" i="25"/>
  <c r="CE91" i="25"/>
  <c r="BV85" i="25"/>
  <c r="CE85" i="25"/>
  <c r="BV85" i="24"/>
  <c r="CD85" i="24"/>
  <c r="BV143" i="24"/>
  <c r="CD143" i="24"/>
  <c r="BW41" i="25"/>
  <c r="CE41" i="25"/>
  <c r="BW62" i="25"/>
  <c r="CE62" i="25"/>
  <c r="BW56" i="25"/>
  <c r="CE56" i="25"/>
  <c r="BW68" i="25"/>
  <c r="CE68" i="25"/>
  <c r="BW31" i="25"/>
  <c r="CE31" i="25"/>
  <c r="BW52" i="25"/>
  <c r="CE52" i="25"/>
  <c r="BW40" i="25"/>
  <c r="CE40" i="25"/>
  <c r="BW63" i="25"/>
  <c r="CE63" i="25"/>
  <c r="BV89" i="25"/>
  <c r="CE89" i="25"/>
  <c r="BW135" i="25"/>
  <c r="CE135" i="25"/>
  <c r="BW100" i="25"/>
  <c r="BW79" i="25"/>
  <c r="BW34" i="25"/>
  <c r="BW64" i="25"/>
  <c r="BW104" i="25"/>
  <c r="BW20" i="25"/>
  <c r="BW51" i="25"/>
  <c r="BW7" i="25"/>
  <c r="BW48" i="25"/>
  <c r="BW70" i="25"/>
  <c r="BW83" i="25"/>
  <c r="BW105" i="25"/>
  <c r="BW87" i="25"/>
  <c r="BW53" i="25"/>
  <c r="BW94" i="25"/>
  <c r="BW96" i="25"/>
  <c r="BW54" i="25"/>
  <c r="BW26" i="25"/>
  <c r="BW67" i="25"/>
  <c r="BW10" i="25"/>
  <c r="BW14" i="25"/>
  <c r="BW17" i="25"/>
  <c r="BW57" i="25"/>
  <c r="BW101" i="25"/>
  <c r="BW21" i="25"/>
  <c r="BW92" i="25"/>
  <c r="BW49" i="25"/>
  <c r="BW45" i="25"/>
  <c r="BW93" i="25"/>
  <c r="BW19" i="25"/>
  <c r="BW85" i="25"/>
  <c r="BW103" i="25"/>
  <c r="BW102" i="25"/>
  <c r="BW38" i="25"/>
  <c r="BW77" i="25"/>
  <c r="BW61" i="25"/>
  <c r="BW47" i="25"/>
  <c r="BW29" i="25"/>
  <c r="BW89" i="25"/>
  <c r="BW37" i="25"/>
  <c r="BW78" i="25"/>
  <c r="BW42" i="25"/>
  <c r="BW76" i="25"/>
  <c r="BW6" i="25"/>
  <c r="BW18" i="25"/>
  <c r="BW99" i="25"/>
  <c r="BW86" i="25"/>
  <c r="BW44" i="25"/>
  <c r="BW97" i="25"/>
  <c r="BW12" i="25"/>
  <c r="BW81" i="25"/>
  <c r="BW173" i="25"/>
  <c r="BW73" i="25"/>
  <c r="BW36" i="25"/>
  <c r="BW16" i="25"/>
  <c r="BW23" i="25"/>
  <c r="BW69" i="25"/>
  <c r="BW59" i="25"/>
  <c r="BW82" i="25"/>
  <c r="BW66" i="25"/>
  <c r="BV151" i="24"/>
  <c r="CE206" i="25"/>
  <c r="BI206" i="25"/>
  <c r="BV206" i="25"/>
  <c r="BJ206" i="25"/>
  <c r="BK206" i="25"/>
  <c r="CE193" i="25"/>
  <c r="BJ193" i="25"/>
  <c r="BK193" i="25"/>
  <c r="BI193" i="25"/>
  <c r="BV193" i="25"/>
  <c r="CE164" i="25"/>
  <c r="BK164" i="25"/>
  <c r="BJ164" i="25"/>
  <c r="BV164" i="25"/>
  <c r="BI164" i="25"/>
  <c r="CE147" i="25"/>
  <c r="BI147" i="25"/>
  <c r="BJ147" i="25"/>
  <c r="BV147" i="25"/>
  <c r="BK147" i="25"/>
  <c r="CE134" i="25"/>
  <c r="BJ134" i="25"/>
  <c r="BV134" i="25"/>
  <c r="BK134" i="25"/>
  <c r="BI134" i="25"/>
  <c r="CE190" i="25"/>
  <c r="BI190" i="25"/>
  <c r="BV190" i="25"/>
  <c r="BJ190" i="25"/>
  <c r="BK190" i="25"/>
  <c r="CE199" i="25"/>
  <c r="BI199" i="25"/>
  <c r="BJ199" i="25"/>
  <c r="BV199" i="25"/>
  <c r="BK199" i="25"/>
  <c r="BI118" i="25"/>
  <c r="BV118" i="25"/>
  <c r="BJ118" i="25"/>
  <c r="BK118" i="25"/>
  <c r="CE201" i="25"/>
  <c r="BV201" i="25"/>
  <c r="BI201" i="25"/>
  <c r="BJ201" i="25"/>
  <c r="BK201" i="25"/>
  <c r="BJ137" i="25"/>
  <c r="BV137" i="25"/>
  <c r="BI137" i="25"/>
  <c r="BK137" i="25"/>
  <c r="CE140" i="25"/>
  <c r="BJ140" i="25"/>
  <c r="BV140" i="25"/>
  <c r="BK140" i="25"/>
  <c r="BI140" i="25"/>
  <c r="CE179" i="25"/>
  <c r="BI179" i="25"/>
  <c r="CE195" i="25"/>
  <c r="BK195" i="25"/>
  <c r="BI195" i="25"/>
  <c r="BJ195" i="25"/>
  <c r="BV195" i="25"/>
  <c r="CE142" i="25"/>
  <c r="BI142" i="25"/>
  <c r="BV142" i="25"/>
  <c r="BJ142" i="25"/>
  <c r="BK142" i="25"/>
  <c r="CE181" i="25"/>
  <c r="BI120" i="25"/>
  <c r="BK120" i="25"/>
  <c r="BJ120" i="25"/>
  <c r="BV120" i="25"/>
  <c r="CE176" i="25"/>
  <c r="CE188" i="25"/>
  <c r="BI188" i="25"/>
  <c r="BK188" i="25"/>
  <c r="BJ188" i="25"/>
  <c r="BV188" i="25"/>
  <c r="BI114" i="25"/>
  <c r="BV114" i="25"/>
  <c r="BK114" i="25"/>
  <c r="BJ114" i="25"/>
  <c r="CE129" i="25"/>
  <c r="BK129" i="25"/>
  <c r="BJ129" i="25"/>
  <c r="BV129" i="25"/>
  <c r="BI129" i="25"/>
  <c r="CE200" i="25"/>
  <c r="BI200" i="25"/>
  <c r="BK200" i="25"/>
  <c r="BJ200" i="25"/>
  <c r="BV200" i="25"/>
  <c r="BV166" i="25"/>
  <c r="CE196" i="25"/>
  <c r="CE170" i="25"/>
  <c r="BJ170" i="25"/>
  <c r="BV170" i="25"/>
  <c r="BK170" i="25"/>
  <c r="BI170" i="25"/>
  <c r="CE139" i="25"/>
  <c r="BV139" i="25"/>
  <c r="BI139" i="25"/>
  <c r="BJ139" i="25"/>
  <c r="BK139" i="25"/>
  <c r="CE180" i="25"/>
  <c r="BJ180" i="25"/>
  <c r="BK180" i="25"/>
  <c r="BV180" i="25"/>
  <c r="BI180" i="25"/>
  <c r="CE116" i="25"/>
  <c r="BK116" i="25"/>
  <c r="BI116" i="25"/>
  <c r="BV116" i="25"/>
  <c r="BJ116" i="25"/>
  <c r="CE156" i="25"/>
  <c r="CE204" i="25"/>
  <c r="BI204" i="25"/>
  <c r="BJ204" i="25"/>
  <c r="BV204" i="25"/>
  <c r="BK204" i="25"/>
  <c r="BJ124" i="25"/>
  <c r="BV124" i="25"/>
  <c r="BK124" i="25"/>
  <c r="BI124" i="25"/>
  <c r="CE146" i="25"/>
  <c r="BI146" i="25"/>
  <c r="BJ146" i="25"/>
  <c r="BK146" i="25"/>
  <c r="BV146" i="25"/>
  <c r="CE205" i="25"/>
  <c r="BI205" i="25"/>
  <c r="BJ205" i="25"/>
  <c r="BV205" i="25"/>
  <c r="BK205" i="25"/>
  <c r="CE203" i="25"/>
  <c r="BI203" i="25"/>
  <c r="BV203" i="25"/>
  <c r="BJ203" i="25"/>
  <c r="BK203" i="25"/>
  <c r="CE192" i="25"/>
  <c r="BI192" i="25"/>
  <c r="BJ192" i="25"/>
  <c r="BV192" i="25"/>
  <c r="BK192" i="25"/>
  <c r="CE169" i="25"/>
  <c r="BJ169" i="25"/>
  <c r="BK169" i="25"/>
  <c r="BI169" i="25"/>
  <c r="BV169" i="25"/>
  <c r="CE130" i="25"/>
  <c r="BI130" i="25"/>
  <c r="BJ130" i="25"/>
  <c r="BV130" i="25"/>
  <c r="BK130" i="25"/>
  <c r="CE185" i="25"/>
  <c r="BK185" i="25"/>
  <c r="BI185" i="25"/>
  <c r="BJ185" i="25"/>
  <c r="BV185" i="25"/>
  <c r="CE198" i="25"/>
  <c r="CE168" i="25"/>
  <c r="BI168" i="25"/>
  <c r="BJ168" i="25"/>
  <c r="BK168" i="25"/>
  <c r="BV168" i="25"/>
  <c r="CE115" i="25"/>
  <c r="BI115" i="25"/>
  <c r="BJ115" i="25"/>
  <c r="BV115" i="25"/>
  <c r="BK115" i="25"/>
  <c r="BI117" i="25"/>
  <c r="BJ117" i="25"/>
  <c r="BK117" i="25"/>
  <c r="BV117" i="25"/>
  <c r="CE208" i="25"/>
  <c r="CE128" i="25"/>
  <c r="BK128" i="25"/>
  <c r="BI128" i="25"/>
  <c r="BV128" i="25"/>
  <c r="BJ128" i="25"/>
  <c r="CE150" i="25"/>
  <c r="BJ150" i="25"/>
  <c r="BK150" i="25"/>
  <c r="BV150" i="25"/>
  <c r="BI150" i="25"/>
  <c r="CE151" i="25"/>
  <c r="BV151" i="25"/>
  <c r="BJ151" i="25"/>
  <c r="BK151" i="25"/>
  <c r="CE184" i="25"/>
  <c r="CE186" i="25"/>
  <c r="BK186" i="25"/>
  <c r="BV186" i="25"/>
  <c r="BI186" i="25"/>
  <c r="BJ186" i="25"/>
  <c r="CE194" i="25"/>
  <c r="BK194" i="25"/>
  <c r="BV194" i="25"/>
  <c r="BI194" i="25"/>
  <c r="BJ194" i="25"/>
  <c r="CE210" i="25"/>
  <c r="CE157" i="25"/>
  <c r="BI157" i="25"/>
  <c r="BJ157" i="25"/>
  <c r="BK157" i="25"/>
  <c r="BV157" i="25"/>
  <c r="CE174" i="25"/>
  <c r="BI174" i="25"/>
  <c r="BK174" i="25"/>
  <c r="BJ174" i="25"/>
  <c r="BV174" i="25"/>
  <c r="CE132" i="25"/>
  <c r="BI132" i="25"/>
  <c r="BJ132" i="25"/>
  <c r="BK132" i="25"/>
  <c r="BV132" i="25"/>
  <c r="CE111" i="25"/>
  <c r="BI111" i="25"/>
  <c r="BV111" i="25"/>
  <c r="BJ111" i="25"/>
  <c r="BK111" i="25"/>
  <c r="CE207" i="25"/>
  <c r="BI207" i="25"/>
  <c r="BK207" i="25"/>
  <c r="BV207" i="25"/>
  <c r="BJ207" i="25"/>
  <c r="CE125" i="25"/>
  <c r="CE197" i="25"/>
  <c r="CE183" i="25"/>
  <c r="BJ183" i="25"/>
  <c r="BK183" i="25"/>
  <c r="BI183" i="25"/>
  <c r="BV183" i="25"/>
  <c r="CE145" i="25"/>
  <c r="BK145" i="25"/>
  <c r="BI145" i="25"/>
  <c r="BJ145" i="25"/>
  <c r="BV145" i="25"/>
  <c r="CE202" i="25"/>
  <c r="BI202" i="25"/>
  <c r="BJ202" i="25"/>
  <c r="BV202" i="25"/>
  <c r="BK202" i="25"/>
  <c r="CE148" i="25"/>
  <c r="CE141" i="25"/>
  <c r="BK141" i="25"/>
  <c r="BI141" i="25"/>
  <c r="BJ141" i="25"/>
  <c r="BV141" i="25"/>
  <c r="CE149" i="25"/>
  <c r="BK149" i="25"/>
  <c r="BV149" i="25"/>
  <c r="BI149" i="25"/>
  <c r="BJ149" i="25"/>
  <c r="CE126" i="25"/>
  <c r="CE165" i="25"/>
  <c r="BJ165" i="25"/>
  <c r="BV165" i="25"/>
  <c r="BI165" i="25"/>
  <c r="BK165" i="25"/>
  <c r="CE152" i="25"/>
  <c r="BI152" i="25"/>
  <c r="BV152" i="25"/>
  <c r="BJ152" i="25"/>
  <c r="BK152" i="25"/>
  <c r="CE158" i="25"/>
  <c r="BK158" i="25"/>
  <c r="BV158" i="25"/>
  <c r="BI158" i="25"/>
  <c r="BJ158" i="25"/>
  <c r="CE121" i="25"/>
  <c r="BJ121" i="25"/>
  <c r="BK121" i="25"/>
  <c r="BI121" i="25"/>
  <c r="BV121" i="25"/>
  <c r="CE143" i="25"/>
  <c r="CE136" i="25"/>
  <c r="BJ136" i="25"/>
  <c r="BV136" i="25"/>
  <c r="BI136" i="25"/>
  <c r="BK136" i="25"/>
  <c r="CE138" i="25"/>
  <c r="BK138" i="25"/>
  <c r="BI138" i="25"/>
  <c r="BV138" i="25"/>
  <c r="BJ138" i="25"/>
  <c r="CE189" i="25"/>
  <c r="BI189" i="25"/>
  <c r="BJ189" i="25"/>
  <c r="BV189" i="25"/>
  <c r="BK189" i="25"/>
  <c r="CE123" i="25"/>
  <c r="BV123" i="25"/>
  <c r="BI123" i="25"/>
  <c r="CE175" i="25"/>
  <c r="BI175" i="25"/>
  <c r="BV175" i="25"/>
  <c r="BK175" i="25"/>
  <c r="BJ175" i="25"/>
  <c r="CE163" i="25"/>
  <c r="BK163" i="25"/>
  <c r="BI163" i="25"/>
  <c r="BV163" i="25"/>
  <c r="BJ163" i="25"/>
  <c r="CE172" i="25"/>
  <c r="CE209" i="25"/>
  <c r="CE167" i="25"/>
  <c r="BK167" i="25"/>
  <c r="BV167" i="25"/>
  <c r="BJ167" i="25"/>
  <c r="BI167" i="25"/>
  <c r="CE187" i="25"/>
  <c r="BK187" i="25"/>
  <c r="BJ187" i="25"/>
  <c r="BV187" i="25"/>
  <c r="BI187" i="25"/>
  <c r="CE154" i="25"/>
  <c r="BK154" i="25"/>
  <c r="BJ154" i="25"/>
  <c r="BV154" i="25"/>
  <c r="BI154" i="25"/>
  <c r="CE161" i="25"/>
  <c r="BK161" i="25"/>
  <c r="BJ161" i="25"/>
  <c r="BV161" i="25"/>
  <c r="BI161" i="25"/>
  <c r="CE119" i="25"/>
  <c r="BJ119" i="25"/>
  <c r="BI119" i="25"/>
  <c r="BV119" i="25"/>
  <c r="BK119" i="25"/>
  <c r="CE177" i="25"/>
  <c r="BJ177" i="25"/>
  <c r="BV177" i="25"/>
  <c r="BK177" i="25"/>
  <c r="BI177" i="25"/>
  <c r="CE144" i="25"/>
  <c r="BK144" i="25"/>
  <c r="BJ144" i="25"/>
  <c r="BI144" i="25"/>
  <c r="BV144" i="25"/>
  <c r="BK122" i="25"/>
  <c r="BJ122" i="25"/>
  <c r="BV122" i="25"/>
  <c r="BI122" i="25"/>
  <c r="CE160" i="25"/>
  <c r="BI160" i="25"/>
  <c r="BV160" i="25"/>
  <c r="BJ160" i="25"/>
  <c r="BK160" i="25"/>
  <c r="CE191" i="25"/>
  <c r="BI191" i="25"/>
  <c r="BV191" i="25"/>
  <c r="BJ191" i="25"/>
  <c r="BK191" i="25"/>
  <c r="CE171" i="25"/>
  <c r="BI171" i="25"/>
  <c r="BJ171" i="25"/>
  <c r="BK171" i="25"/>
  <c r="BV171" i="25"/>
  <c r="BK112" i="25"/>
  <c r="BI112" i="25"/>
  <c r="BJ112" i="25"/>
  <c r="BV112" i="25"/>
  <c r="CE182" i="25"/>
  <c r="BJ182" i="25"/>
  <c r="BK182" i="25"/>
  <c r="BV182" i="25"/>
  <c r="BI182" i="25"/>
  <c r="CE155" i="25"/>
  <c r="BI155" i="25"/>
  <c r="BJ155" i="25"/>
  <c r="BK155" i="25"/>
  <c r="BV155" i="25"/>
  <c r="CE178" i="25"/>
  <c r="BI178" i="25"/>
  <c r="BJ178" i="25"/>
  <c r="BV178" i="25"/>
  <c r="BK178" i="25"/>
  <c r="CE153" i="25"/>
  <c r="BK153" i="25"/>
  <c r="BJ153" i="25"/>
  <c r="BI153" i="25"/>
  <c r="BV153" i="25"/>
  <c r="BJ135" i="25"/>
  <c r="BK135" i="25"/>
  <c r="BV135" i="25"/>
  <c r="BI135" i="25"/>
  <c r="CE159" i="25"/>
  <c r="BJ159" i="25"/>
  <c r="BV159" i="25"/>
  <c r="BI159" i="25"/>
  <c r="BK159" i="25"/>
  <c r="BI173" i="25"/>
  <c r="BV173" i="25"/>
  <c r="BJ173" i="25"/>
  <c r="BK173" i="25"/>
  <c r="CE127" i="25"/>
  <c r="BK162" i="25"/>
  <c r="BV162" i="25"/>
  <c r="BJ162" i="25"/>
  <c r="BI162" i="25"/>
  <c r="AX154" i="24"/>
  <c r="BJ142" i="24"/>
  <c r="BJ139" i="24"/>
  <c r="BJ121" i="24"/>
  <c r="BJ179" i="24"/>
  <c r="AX143" i="24"/>
  <c r="BJ171" i="24"/>
  <c r="BJ158" i="24"/>
  <c r="BU120" i="24"/>
  <c r="BJ185" i="24"/>
  <c r="BV183" i="24"/>
  <c r="AX197" i="24"/>
  <c r="BU154" i="24"/>
  <c r="AX127" i="24"/>
  <c r="BV125" i="24"/>
  <c r="BJ145" i="24"/>
  <c r="AX139" i="24"/>
  <c r="AX179" i="24"/>
  <c r="BV145" i="24"/>
  <c r="BV142" i="24"/>
  <c r="BV139" i="24"/>
  <c r="CD164" i="24"/>
  <c r="BK164" i="24"/>
  <c r="BL164" i="24"/>
  <c r="BJ164" i="24"/>
  <c r="AX164" i="24"/>
  <c r="BU164" i="24"/>
  <c r="BV164" i="24"/>
  <c r="BK175" i="24"/>
  <c r="BL175" i="24"/>
  <c r="BU175" i="24"/>
  <c r="AX175" i="24"/>
  <c r="BV175" i="24"/>
  <c r="BJ175" i="24"/>
  <c r="CD201" i="24"/>
  <c r="BK201" i="24"/>
  <c r="BL201" i="24"/>
  <c r="AT116" i="24"/>
  <c r="BU116" i="24"/>
  <c r="BV116" i="24"/>
  <c r="BJ116" i="24"/>
  <c r="AX116" i="24"/>
  <c r="BK113" i="24"/>
  <c r="BL113" i="24"/>
  <c r="BU113" i="24"/>
  <c r="BV113" i="24"/>
  <c r="AX113" i="24"/>
  <c r="BJ113" i="24"/>
  <c r="AT136" i="24"/>
  <c r="CD144" i="24"/>
  <c r="BK144" i="24"/>
  <c r="BL144" i="24"/>
  <c r="BU144" i="24"/>
  <c r="BJ144" i="24"/>
  <c r="BV144" i="24"/>
  <c r="AT148" i="24"/>
  <c r="BU148" i="24"/>
  <c r="BV148" i="24"/>
  <c r="BJ148" i="24"/>
  <c r="AX148" i="24"/>
  <c r="AT169" i="24"/>
  <c r="AT181" i="24"/>
  <c r="AT208" i="24"/>
  <c r="CD190" i="24"/>
  <c r="BK190" i="24"/>
  <c r="BL190" i="24"/>
  <c r="BU190" i="24"/>
  <c r="BV190" i="24"/>
  <c r="AX190" i="24"/>
  <c r="BJ190" i="24"/>
  <c r="BK148" i="24"/>
  <c r="BL148" i="24"/>
  <c r="CD126" i="24"/>
  <c r="BK126" i="24"/>
  <c r="BL126" i="24"/>
  <c r="BV126" i="24"/>
  <c r="BJ126" i="24"/>
  <c r="BU126" i="24"/>
  <c r="AX126" i="24"/>
  <c r="CD111" i="24"/>
  <c r="BK111" i="24"/>
  <c r="BL111" i="24"/>
  <c r="BL118" i="24"/>
  <c r="BK118" i="24"/>
  <c r="BV118" i="24"/>
  <c r="AX118" i="24"/>
  <c r="BU118" i="24"/>
  <c r="BJ118" i="24"/>
  <c r="AQ200" i="24"/>
  <c r="BK200" i="24"/>
  <c r="BL200" i="24"/>
  <c r="AX200" i="24"/>
  <c r="BJ200" i="24"/>
  <c r="BV200" i="24"/>
  <c r="BU200" i="24"/>
  <c r="CD178" i="24"/>
  <c r="BK178" i="24"/>
  <c r="BL178" i="24"/>
  <c r="BU178" i="24"/>
  <c r="AX178" i="24"/>
  <c r="BJ178" i="24"/>
  <c r="BV178" i="24"/>
  <c r="CD197" i="24"/>
  <c r="BK197" i="24"/>
  <c r="BL197" i="24"/>
  <c r="BL116" i="24"/>
  <c r="BK116" i="24"/>
  <c r="AT123" i="24"/>
  <c r="AT122" i="24"/>
  <c r="CD177" i="24"/>
  <c r="BK177" i="24"/>
  <c r="BL177" i="24"/>
  <c r="BK137" i="24"/>
  <c r="BL137" i="24"/>
  <c r="BK143" i="24"/>
  <c r="BL143" i="24"/>
  <c r="BK120" i="24"/>
  <c r="BL120" i="24"/>
  <c r="BL153" i="24"/>
  <c r="BK153" i="24"/>
  <c r="CD171" i="24"/>
  <c r="BK171" i="24"/>
  <c r="BL171" i="24"/>
  <c r="AT172" i="24"/>
  <c r="BV121" i="24"/>
  <c r="BJ120" i="24"/>
  <c r="BU177" i="24"/>
  <c r="BJ137" i="24"/>
  <c r="BU197" i="24"/>
  <c r="BV127" i="24"/>
  <c r="CD160" i="24"/>
  <c r="BL160" i="24"/>
  <c r="BK160" i="24"/>
  <c r="BJ160" i="24"/>
  <c r="AX160" i="24"/>
  <c r="BV160" i="24"/>
  <c r="BU160" i="24"/>
  <c r="BK135" i="24"/>
  <c r="BL135" i="24"/>
  <c r="BU135" i="24"/>
  <c r="AX135" i="24"/>
  <c r="BV135" i="24"/>
  <c r="BJ135" i="24"/>
  <c r="CD154" i="24"/>
  <c r="BK154" i="24"/>
  <c r="BL154" i="24"/>
  <c r="AT115" i="24"/>
  <c r="CD125" i="24"/>
  <c r="BK125" i="24"/>
  <c r="BL125" i="24"/>
  <c r="CD187" i="24"/>
  <c r="BK187" i="24"/>
  <c r="BL187" i="24"/>
  <c r="CD183" i="24"/>
  <c r="BK183" i="24"/>
  <c r="BL183" i="24"/>
  <c r="CD179" i="24"/>
  <c r="BK179" i="24"/>
  <c r="BL179" i="24"/>
  <c r="CD151" i="24"/>
  <c r="BL151" i="24"/>
  <c r="BK151" i="24"/>
  <c r="CD185" i="24"/>
  <c r="BK185" i="24"/>
  <c r="BL185" i="24"/>
  <c r="BK158" i="24"/>
  <c r="BL158" i="24"/>
  <c r="AT157" i="24"/>
  <c r="AT201" i="24"/>
  <c r="BU201" i="24"/>
  <c r="AX201" i="24"/>
  <c r="BV201" i="24"/>
  <c r="BJ201" i="24"/>
  <c r="AT153" i="24"/>
  <c r="BU153" i="24"/>
  <c r="BV153" i="24"/>
  <c r="AX153" i="24"/>
  <c r="BJ153" i="24"/>
  <c r="AT195" i="24"/>
  <c r="BV171" i="24"/>
  <c r="AX121" i="24"/>
  <c r="AX158" i="24"/>
  <c r="BU158" i="24"/>
  <c r="BV120" i="24"/>
  <c r="BJ111" i="24"/>
  <c r="BU111" i="24"/>
  <c r="BU185" i="24"/>
  <c r="AX151" i="24"/>
  <c r="BU151" i="24"/>
  <c r="BJ177" i="24"/>
  <c r="BV177" i="24"/>
  <c r="BJ183" i="24"/>
  <c r="BU183" i="24"/>
  <c r="AX142" i="24"/>
  <c r="BV137" i="24"/>
  <c r="BU137" i="24"/>
  <c r="BV197" i="24"/>
  <c r="BV179" i="24"/>
  <c r="BV154" i="24"/>
  <c r="BU143" i="24"/>
  <c r="BU125" i="24"/>
  <c r="AX145" i="24"/>
  <c r="CD121" i="24"/>
  <c r="BK121" i="24"/>
  <c r="BL121" i="24"/>
  <c r="BK138" i="24"/>
  <c r="BL138" i="24"/>
  <c r="BV138" i="24"/>
  <c r="BU138" i="24"/>
  <c r="BJ138" i="24"/>
  <c r="AX138" i="24"/>
  <c r="CD140" i="24"/>
  <c r="BL140" i="24"/>
  <c r="BK140" i="24"/>
  <c r="BJ140" i="24"/>
  <c r="AX140" i="24"/>
  <c r="BU140" i="24"/>
  <c r="BV140" i="24"/>
  <c r="CD202" i="24"/>
  <c r="BK202" i="24"/>
  <c r="BL202" i="24"/>
  <c r="BU202" i="24"/>
  <c r="AX202" i="24"/>
  <c r="BV202" i="24"/>
  <c r="BJ202" i="24"/>
  <c r="CD173" i="24"/>
  <c r="BK173" i="24"/>
  <c r="BL173" i="24"/>
  <c r="AX173" i="24"/>
  <c r="BV173" i="24"/>
  <c r="BU173" i="24"/>
  <c r="BJ173" i="24"/>
  <c r="CD129" i="24"/>
  <c r="BK129" i="24"/>
  <c r="BL129" i="24"/>
  <c r="BJ129" i="24"/>
  <c r="BU129" i="24"/>
  <c r="AX129" i="24"/>
  <c r="BV129" i="24"/>
  <c r="CD124" i="24"/>
  <c r="BL124" i="24"/>
  <c r="BK124" i="24"/>
  <c r="BV124" i="24"/>
  <c r="BJ124" i="24"/>
  <c r="AX124" i="24"/>
  <c r="BU124" i="24"/>
  <c r="CD127" i="24"/>
  <c r="BK127" i="24"/>
  <c r="BL127" i="24"/>
  <c r="CD180" i="24"/>
  <c r="BL180" i="24"/>
  <c r="BK180" i="24"/>
  <c r="BV180" i="24"/>
  <c r="AX180" i="24"/>
  <c r="BJ180" i="24"/>
  <c r="BU180" i="24"/>
  <c r="BK145" i="24"/>
  <c r="BL145" i="24"/>
  <c r="CD142" i="24"/>
  <c r="BK142" i="24"/>
  <c r="BL142" i="24"/>
  <c r="AT112" i="24"/>
  <c r="CD139" i="24"/>
  <c r="BK139" i="24"/>
  <c r="BL139" i="24"/>
  <c r="AT155" i="24"/>
  <c r="AT210" i="24"/>
  <c r="AT187" i="24"/>
  <c r="BU187" i="24"/>
  <c r="BJ187" i="24"/>
  <c r="BV187" i="24"/>
  <c r="AX187" i="24"/>
  <c r="AT207" i="24"/>
  <c r="BU171" i="24"/>
  <c r="BV111" i="24"/>
  <c r="AX185" i="24"/>
  <c r="AX177" i="24"/>
  <c r="AX137" i="24"/>
  <c r="BJ127" i="24"/>
  <c r="BJ143" i="24"/>
  <c r="AX125" i="24"/>
  <c r="AN165" i="24"/>
  <c r="AQ165" i="24" s="1"/>
  <c r="BV56" i="24"/>
  <c r="AK152" i="24"/>
  <c r="AV15" i="24"/>
  <c r="AV33" i="24"/>
  <c r="AV41" i="24"/>
  <c r="AV64" i="24"/>
  <c r="AV46" i="24"/>
  <c r="BV46" i="24"/>
  <c r="AV63" i="24"/>
  <c r="BV63" i="24"/>
  <c r="BV89" i="24"/>
  <c r="AV92" i="24"/>
  <c r="BV92" i="24"/>
  <c r="AV79" i="24"/>
  <c r="BV79" i="24"/>
  <c r="AV34" i="24"/>
  <c r="AV11" i="24"/>
  <c r="AV99" i="24"/>
  <c r="AT8" i="24"/>
  <c r="AV28" i="24"/>
  <c r="BV28" i="24"/>
  <c r="AV31" i="24"/>
  <c r="BV31" i="24"/>
  <c r="AV18" i="24"/>
  <c r="BV18" i="24"/>
  <c r="AV96" i="24"/>
  <c r="BV96" i="24"/>
  <c r="AV55" i="24"/>
  <c r="BV100" i="24"/>
  <c r="AV49" i="24"/>
  <c r="AV43" i="24"/>
  <c r="AV35" i="24"/>
  <c r="AV29" i="24"/>
  <c r="BV29" i="24"/>
  <c r="AV21" i="24"/>
  <c r="BV21" i="24"/>
  <c r="AV51" i="24"/>
  <c r="AV72" i="24"/>
  <c r="BV72" i="24"/>
  <c r="BV83" i="24"/>
  <c r="AV19" i="24"/>
  <c r="BV19" i="24"/>
  <c r="AT13" i="24"/>
  <c r="AV40" i="24"/>
  <c r="BV40" i="24"/>
  <c r="AV59" i="24"/>
  <c r="BV59" i="24"/>
  <c r="AV54" i="24"/>
  <c r="BV54" i="24"/>
  <c r="AV68" i="24"/>
  <c r="BV68" i="24"/>
  <c r="AV82" i="24"/>
  <c r="BV82" i="24"/>
  <c r="AV97" i="24"/>
  <c r="BV32" i="24"/>
  <c r="BV53" i="24"/>
  <c r="AK172" i="24"/>
  <c r="AT79" i="24"/>
  <c r="AN152" i="24"/>
  <c r="AK70" i="24"/>
  <c r="AK254" i="24"/>
  <c r="AN279" i="24"/>
  <c r="CD279" i="24" s="1"/>
  <c r="AN306" i="24"/>
  <c r="AN182" i="24"/>
  <c r="AK282" i="24"/>
  <c r="AK314" i="24"/>
  <c r="AN70" i="24"/>
  <c r="CD70" i="24" s="1"/>
  <c r="AN78" i="24"/>
  <c r="AN193" i="24"/>
  <c r="CD104" i="24"/>
  <c r="AK278" i="24"/>
  <c r="BI32" i="25"/>
  <c r="CE32" i="25"/>
  <c r="AX36" i="24"/>
  <c r="CD36" i="24"/>
  <c r="AN238" i="24"/>
  <c r="AS238" i="24" s="1"/>
  <c r="AK247" i="24"/>
  <c r="AK190" i="24"/>
  <c r="CD78" i="24"/>
  <c r="AX42" i="24"/>
  <c r="CD42" i="24"/>
  <c r="AK115" i="24"/>
  <c r="AK137" i="24"/>
  <c r="AN239" i="24"/>
  <c r="AQ239" i="24" s="1"/>
  <c r="AK154" i="24"/>
  <c r="AN261" i="24"/>
  <c r="AQ261" i="24" s="1"/>
  <c r="AK264" i="24"/>
  <c r="AK281" i="24"/>
  <c r="AK207" i="24"/>
  <c r="AK261" i="24"/>
  <c r="AK195" i="24"/>
  <c r="AJ103" i="24"/>
  <c r="AK193" i="24"/>
  <c r="AN128" i="24"/>
  <c r="AN132" i="24"/>
  <c r="AK290" i="24"/>
  <c r="AN191" i="24"/>
  <c r="CD191" i="24" s="1"/>
  <c r="AK157" i="24"/>
  <c r="AK263" i="24"/>
  <c r="AK132" i="24"/>
  <c r="AN263" i="24"/>
  <c r="AS263" i="24" s="1"/>
  <c r="AK169" i="24"/>
  <c r="AN189" i="24"/>
  <c r="AN312" i="24"/>
  <c r="AK249" i="24"/>
  <c r="AK114" i="24"/>
  <c r="AK271" i="24"/>
  <c r="AK210" i="24"/>
  <c r="AN256" i="24"/>
  <c r="CD256" i="24" s="1"/>
  <c r="AN146" i="24"/>
  <c r="AK313" i="24"/>
  <c r="AN218" i="24"/>
  <c r="CD218" i="24" s="1"/>
  <c r="AK284" i="24"/>
  <c r="AJ81" i="24"/>
  <c r="AJ75" i="24"/>
  <c r="AJ93" i="24"/>
  <c r="AK243" i="24"/>
  <c r="AK196" i="24"/>
  <c r="AN147" i="24"/>
  <c r="AN313" i="24"/>
  <c r="AQ313" i="24" s="1"/>
  <c r="AN292" i="24"/>
  <c r="CD292" i="24" s="1"/>
  <c r="AK250" i="24"/>
  <c r="AN264" i="24"/>
  <c r="AS264" i="24" s="1"/>
  <c r="AN290" i="24"/>
  <c r="AK245" i="24"/>
  <c r="AK262" i="24"/>
  <c r="AK158" i="24"/>
  <c r="AK183" i="24"/>
  <c r="AK191" i="24"/>
  <c r="AK56" i="24"/>
  <c r="AJ98" i="24"/>
  <c r="AN73" i="24"/>
  <c r="BV73" i="24" s="1"/>
  <c r="AK270" i="24"/>
  <c r="AK253" i="24"/>
  <c r="AN170" i="24"/>
  <c r="AX63" i="24"/>
  <c r="AN55" i="24"/>
  <c r="BU55" i="24" s="1"/>
  <c r="AN159" i="24"/>
  <c r="AN25" i="24"/>
  <c r="CD25" i="24" s="1"/>
  <c r="AK189" i="24"/>
  <c r="AK162" i="24"/>
  <c r="AN296" i="24"/>
  <c r="AK142" i="24"/>
  <c r="AK174" i="24"/>
  <c r="AN33" i="24"/>
  <c r="AX33" i="24" s="1"/>
  <c r="AN167" i="24"/>
  <c r="CD167" i="24" s="1"/>
  <c r="AN168" i="24"/>
  <c r="AN122" i="24"/>
  <c r="AN166" i="24"/>
  <c r="AN243" i="24"/>
  <c r="AQ243" i="24" s="1"/>
  <c r="AK97" i="24"/>
  <c r="AN266" i="24"/>
  <c r="CD266" i="24" s="1"/>
  <c r="AK185" i="24"/>
  <c r="AT97" i="24"/>
  <c r="AN270" i="24"/>
  <c r="AN227" i="24"/>
  <c r="AQ227" i="24" s="1"/>
  <c r="AK147" i="24"/>
  <c r="AK155" i="24"/>
  <c r="AK92" i="24"/>
  <c r="AT92" i="24"/>
  <c r="AK171" i="24"/>
  <c r="AN130" i="24"/>
  <c r="AJ67" i="24"/>
  <c r="AJ84" i="24"/>
  <c r="AJ76" i="24"/>
  <c r="AK166" i="24"/>
  <c r="AX68" i="24"/>
  <c r="AT68" i="24"/>
  <c r="AK258" i="24"/>
  <c r="AK268" i="24"/>
  <c r="AJ66" i="24"/>
  <c r="AJ44" i="24"/>
  <c r="AT82" i="24"/>
  <c r="AN114" i="24"/>
  <c r="AK291" i="24"/>
  <c r="AN150" i="24"/>
  <c r="AK283" i="24"/>
  <c r="AK300" i="24"/>
  <c r="AN198" i="24"/>
  <c r="AK153" i="24"/>
  <c r="AK120" i="24"/>
  <c r="AN176" i="24"/>
  <c r="AK143" i="24"/>
  <c r="AN309" i="24"/>
  <c r="AQ309" i="24" s="1"/>
  <c r="AN206" i="24"/>
  <c r="AN117" i="24"/>
  <c r="AT59" i="24"/>
  <c r="AK139" i="24"/>
  <c r="AK168" i="24"/>
  <c r="AN156" i="24"/>
  <c r="AN204" i="24"/>
  <c r="AK151" i="24"/>
  <c r="AN232" i="24"/>
  <c r="AS232" i="24" s="1"/>
  <c r="BJ46" i="24"/>
  <c r="AN233" i="24"/>
  <c r="AQ233" i="24" s="1"/>
  <c r="AN195" i="24"/>
  <c r="BJ195" i="24" s="1"/>
  <c r="AK144" i="24"/>
  <c r="AT46" i="24"/>
  <c r="AT63" i="24"/>
  <c r="AK25" i="24"/>
  <c r="AK51" i="24"/>
  <c r="AK299" i="24"/>
  <c r="AT51" i="24"/>
  <c r="AK277" i="24"/>
  <c r="AN297" i="24"/>
  <c r="AS297" i="24" s="1"/>
  <c r="AN307" i="24"/>
  <c r="AK89" i="24"/>
  <c r="AK226" i="24"/>
  <c r="AV88" i="24"/>
  <c r="AT88" i="24"/>
  <c r="AN10" i="24"/>
  <c r="AN285" i="24"/>
  <c r="AQ285" i="24" s="1"/>
  <c r="AJ77" i="24"/>
  <c r="AN174" i="24"/>
  <c r="AT40" i="24"/>
  <c r="AN226" i="24"/>
  <c r="AQ226" i="24" s="1"/>
  <c r="AN133" i="24"/>
  <c r="CD133" i="24" s="1"/>
  <c r="AT72" i="24"/>
  <c r="AJ71" i="24"/>
  <c r="AT54" i="24"/>
  <c r="AV89" i="24"/>
  <c r="AT89" i="24"/>
  <c r="AJ80" i="24"/>
  <c r="AJ90" i="24"/>
  <c r="AJ39" i="24"/>
  <c r="AK112" i="24"/>
  <c r="AK113" i="24"/>
  <c r="AJ57" i="24"/>
  <c r="AJ62" i="24"/>
  <c r="AK64" i="24"/>
  <c r="AT64" i="24"/>
  <c r="AN162" i="24"/>
  <c r="CD162" i="24" s="1"/>
  <c r="AN209" i="24"/>
  <c r="AK179" i="24"/>
  <c r="AV61" i="24"/>
  <c r="AT61" i="24"/>
  <c r="AJ38" i="24"/>
  <c r="AT43" i="24"/>
  <c r="AJ45" i="24"/>
  <c r="AK136" i="24"/>
  <c r="AN188" i="24"/>
  <c r="AJ48" i="24"/>
  <c r="AJ52" i="24"/>
  <c r="AN119" i="24"/>
  <c r="AK145" i="24"/>
  <c r="AK167" i="24"/>
  <c r="BJ40" i="24"/>
  <c r="AK41" i="24"/>
  <c r="AN141" i="24"/>
  <c r="AN184" i="24"/>
  <c r="CD184" i="24" s="1"/>
  <c r="AN95" i="24"/>
  <c r="CD95" i="24" s="1"/>
  <c r="AK46" i="24"/>
  <c r="AT41" i="24"/>
  <c r="AN112" i="24"/>
  <c r="AN196" i="24"/>
  <c r="AN208" i="24"/>
  <c r="BV208" i="24" s="1"/>
  <c r="AN101" i="24"/>
  <c r="CD101" i="24" s="1"/>
  <c r="AK54" i="24"/>
  <c r="AN60" i="24"/>
  <c r="BV60" i="24" s="1"/>
  <c r="AN181" i="24"/>
  <c r="BU181" i="24" s="1"/>
  <c r="AN157" i="24"/>
  <c r="BV157" i="24" s="1"/>
  <c r="AK36" i="24"/>
  <c r="AN23" i="24"/>
  <c r="AN205" i="24"/>
  <c r="AN199" i="24"/>
  <c r="AK96" i="24"/>
  <c r="AN97" i="24"/>
  <c r="CD97" i="24" s="1"/>
  <c r="AN51" i="24"/>
  <c r="BV51" i="24" s="1"/>
  <c r="AN105" i="24"/>
  <c r="AK85" i="24"/>
  <c r="AK100" i="24"/>
  <c r="AK148" i="24"/>
  <c r="AN192" i="24"/>
  <c r="AN186" i="24"/>
  <c r="AT21" i="24"/>
  <c r="AN203" i="24"/>
  <c r="AK177" i="24"/>
  <c r="AV13" i="24"/>
  <c r="AN41" i="24"/>
  <c r="AN210" i="24"/>
  <c r="AX210" i="24" s="1"/>
  <c r="AK187" i="24"/>
  <c r="AK122" i="24"/>
  <c r="AT31" i="24"/>
  <c r="AN14" i="24"/>
  <c r="AN172" i="24"/>
  <c r="BJ172" i="24" s="1"/>
  <c r="AN131" i="24"/>
  <c r="AK159" i="24"/>
  <c r="AT18" i="24"/>
  <c r="AK82" i="24"/>
  <c r="AX31" i="24"/>
  <c r="AK18" i="24"/>
  <c r="AN115" i="24"/>
  <c r="BV115" i="24" s="1"/>
  <c r="AK40" i="24"/>
  <c r="AK42" i="24"/>
  <c r="AK79" i="24"/>
  <c r="AN149" i="24"/>
  <c r="AK23" i="24"/>
  <c r="AK125" i="24"/>
  <c r="AN161" i="24"/>
  <c r="CD161" i="24" s="1"/>
  <c r="AN155" i="24"/>
  <c r="BJ155" i="24" s="1"/>
  <c r="AN207" i="24"/>
  <c r="BV207" i="24" s="1"/>
  <c r="AN163" i="24"/>
  <c r="AN136" i="24"/>
  <c r="CD136" i="24" s="1"/>
  <c r="AK21" i="24"/>
  <c r="AK72" i="24"/>
  <c r="BJ21" i="24"/>
  <c r="AT33" i="24"/>
  <c r="AN27" i="24"/>
  <c r="AX92" i="24"/>
  <c r="CD92" i="24"/>
  <c r="AN64" i="24"/>
  <c r="BJ64" i="24" s="1"/>
  <c r="AT19" i="24"/>
  <c r="AK29" i="24"/>
  <c r="AK55" i="24"/>
  <c r="AN86" i="24"/>
  <c r="CD86" i="24" s="1"/>
  <c r="BJ19" i="24"/>
  <c r="AN87" i="24"/>
  <c r="CD87" i="24" s="1"/>
  <c r="AK28" i="24"/>
  <c r="AG65" i="24"/>
  <c r="AN65" i="24" s="1"/>
  <c r="AN169" i="24"/>
  <c r="AX169" i="24" s="1"/>
  <c r="AN50" i="24"/>
  <c r="CD50" i="24" s="1"/>
  <c r="AK33" i="24"/>
  <c r="AG71" i="24"/>
  <c r="AK123" i="24"/>
  <c r="AT15" i="24"/>
  <c r="AN134" i="24"/>
  <c r="BI90" i="25"/>
  <c r="CE90" i="25"/>
  <c r="AT29" i="24"/>
  <c r="AG13" i="24"/>
  <c r="AK13" i="24" s="1"/>
  <c r="AK116" i="24"/>
  <c r="AN194" i="24"/>
  <c r="AV8" i="24"/>
  <c r="BJ28" i="24"/>
  <c r="AK201" i="24"/>
  <c r="AN123" i="24"/>
  <c r="BV123" i="24" s="1"/>
  <c r="AK31" i="24"/>
  <c r="AK53" i="24"/>
  <c r="AT28" i="24"/>
  <c r="AN91" i="24"/>
  <c r="CD91" i="24" s="1"/>
  <c r="AK63" i="24"/>
  <c r="AK68" i="24"/>
  <c r="AK59" i="24"/>
  <c r="AK19" i="24"/>
  <c r="AK32" i="24"/>
  <c r="AT49" i="24"/>
  <c r="AG49" i="24"/>
  <c r="AK49" i="24" s="1"/>
  <c r="AV37" i="24"/>
  <c r="AT37" i="24"/>
  <c r="BU104" i="24"/>
  <c r="AX104" i="24"/>
  <c r="BK104" i="24"/>
  <c r="AN69" i="24"/>
  <c r="CD69" i="24" s="1"/>
  <c r="AK104" i="24"/>
  <c r="AG102" i="24"/>
  <c r="AJ22" i="24"/>
  <c r="AT34" i="24"/>
  <c r="AG48" i="24"/>
  <c r="BJ104" i="24"/>
  <c r="AV65" i="24"/>
  <c r="AT65" i="24"/>
  <c r="AS104" i="24"/>
  <c r="AU104" i="24" s="1"/>
  <c r="AG22" i="24"/>
  <c r="AN22" i="24" s="1"/>
  <c r="AV102" i="24"/>
  <c r="AT102" i="24"/>
  <c r="BL104" i="24"/>
  <c r="AG81" i="24"/>
  <c r="AN81" i="24" s="1"/>
  <c r="CD81" i="24" s="1"/>
  <c r="AG15" i="24"/>
  <c r="AK15" i="24" s="1"/>
  <c r="AG34" i="24"/>
  <c r="AN34" i="24" s="1"/>
  <c r="AX34" i="24" s="1"/>
  <c r="AG93" i="24"/>
  <c r="AJ12" i="24"/>
  <c r="AG37" i="24"/>
  <c r="AJ20" i="24"/>
  <c r="AG8" i="24"/>
  <c r="AA94" i="24"/>
  <c r="AB94" i="24" s="1"/>
  <c r="AC94" i="24" s="1"/>
  <c r="AJ94" i="24" s="1"/>
  <c r="AG94" i="24"/>
  <c r="AV6" i="24"/>
  <c r="AT6" i="24"/>
  <c r="AT35" i="24"/>
  <c r="AT99" i="24"/>
  <c r="AJ7" i="24"/>
  <c r="AT11" i="24"/>
  <c r="AV58" i="24"/>
  <c r="AT58" i="24"/>
  <c r="AG11" i="24"/>
  <c r="AG57" i="24"/>
  <c r="AG88" i="24"/>
  <c r="AK88" i="24" s="1"/>
  <c r="AG16" i="24"/>
  <c r="AG67" i="24"/>
  <c r="AG39" i="24"/>
  <c r="AG99" i="24"/>
  <c r="AG47" i="24"/>
  <c r="AJ9" i="24"/>
  <c r="AG12" i="24"/>
  <c r="AG58" i="24"/>
  <c r="AG76" i="24"/>
  <c r="AG24" i="24"/>
  <c r="AG30" i="24"/>
  <c r="AG61" i="24"/>
  <c r="AG17" i="24"/>
  <c r="AG77" i="24"/>
  <c r="AG84" i="24"/>
  <c r="AG80" i="24"/>
  <c r="AG75" i="24"/>
  <c r="AG20" i="24"/>
  <c r="AA26" i="24"/>
  <c r="AB26" i="24" s="1"/>
  <c r="AC26" i="24" s="1"/>
  <c r="AJ26" i="24" s="1"/>
  <c r="AG26" i="24"/>
  <c r="AG45" i="24"/>
  <c r="AG52" i="24"/>
  <c r="AG9" i="24"/>
  <c r="AG35" i="24"/>
  <c r="AN35" i="24" s="1"/>
  <c r="AJ16" i="24"/>
  <c r="AJ17" i="24"/>
  <c r="AG66" i="24"/>
  <c r="AJ24" i="24"/>
  <c r="AG38" i="24"/>
  <c r="AJ30" i="24"/>
  <c r="AG103" i="24"/>
  <c r="AV47" i="24"/>
  <c r="AT47" i="24"/>
  <c r="AG90" i="24"/>
  <c r="AG62" i="24"/>
  <c r="AG98" i="24"/>
  <c r="AG44" i="24"/>
  <c r="AG6" i="24"/>
  <c r="AG7" i="24"/>
  <c r="AX54" i="24"/>
  <c r="AX72" i="24"/>
  <c r="BU85" i="24"/>
  <c r="AX85" i="24"/>
  <c r="AX82" i="24"/>
  <c r="AX59" i="24"/>
  <c r="AX96" i="24"/>
  <c r="AX28" i="24"/>
  <c r="AX89" i="24"/>
  <c r="AX79" i="24"/>
  <c r="AX18" i="24"/>
  <c r="AX40" i="24"/>
  <c r="AX19" i="24"/>
  <c r="AX21" i="24"/>
  <c r="AX29" i="24"/>
  <c r="AX46" i="24"/>
  <c r="AU5" i="24"/>
  <c r="BV72" i="25"/>
  <c r="CE72" i="25"/>
  <c r="AN110" i="24"/>
  <c r="BV98" i="25"/>
  <c r="CE98" i="25"/>
  <c r="BV58" i="25"/>
  <c r="CE58" i="25"/>
  <c r="BV74" i="25"/>
  <c r="CE74" i="25"/>
  <c r="AW5" i="24"/>
  <c r="AY5" i="24" s="1"/>
  <c r="AZ5" i="24" s="1"/>
  <c r="BI39" i="25"/>
  <c r="CE39" i="25"/>
  <c r="AM110" i="25"/>
  <c r="BW110" i="25" s="1"/>
  <c r="BI84" i="25"/>
  <c r="CE84" i="25"/>
  <c r="BI33" i="25"/>
  <c r="CE33" i="25"/>
  <c r="BV55" i="25"/>
  <c r="CE55" i="25"/>
  <c r="BV75" i="25"/>
  <c r="CE75" i="25"/>
  <c r="BI60" i="25"/>
  <c r="CE60" i="25"/>
  <c r="AS5" i="25"/>
  <c r="BI43" i="25"/>
  <c r="CE43" i="25"/>
  <c r="BU53" i="24"/>
  <c r="BJ36" i="24"/>
  <c r="BI50" i="25"/>
  <c r="CE50" i="25"/>
  <c r="BV25" i="25"/>
  <c r="CE25" i="25"/>
  <c r="BV65" i="25"/>
  <c r="CE65" i="25"/>
  <c r="AJ5" i="25"/>
  <c r="AM5" i="25"/>
  <c r="BW5" i="25" s="1"/>
  <c r="BI46" i="25"/>
  <c r="CE46" i="25"/>
  <c r="L20" i="1"/>
  <c r="BV95" i="25"/>
  <c r="CE95" i="25"/>
  <c r="AP218" i="25"/>
  <c r="AR218" i="25"/>
  <c r="BV80" i="25"/>
  <c r="CE80" i="25"/>
  <c r="BV7" i="25"/>
  <c r="BV18" i="25"/>
  <c r="BI66" i="25"/>
  <c r="BI75" i="25"/>
  <c r="BI72" i="25"/>
  <c r="BV90" i="25"/>
  <c r="BI89" i="25"/>
  <c r="BV33" i="25"/>
  <c r="BI16" i="25"/>
  <c r="BV50" i="25"/>
  <c r="BI58" i="25"/>
  <c r="BV32" i="25"/>
  <c r="BI95" i="25"/>
  <c r="BV39" i="25"/>
  <c r="BV46" i="25"/>
  <c r="BV43" i="25"/>
  <c r="AR206" i="25"/>
  <c r="AP206" i="25"/>
  <c r="AR193" i="25"/>
  <c r="AP193" i="25"/>
  <c r="AR164" i="25"/>
  <c r="AP164" i="25"/>
  <c r="AR233" i="25"/>
  <c r="AP233" i="25"/>
  <c r="AR27" i="25"/>
  <c r="BJ27" i="25"/>
  <c r="BK27" i="25"/>
  <c r="AP27" i="25"/>
  <c r="BV27" i="25"/>
  <c r="BI27" i="25"/>
  <c r="AR73" i="25"/>
  <c r="AT73" i="25" s="1"/>
  <c r="BJ73" i="25"/>
  <c r="BK73" i="25"/>
  <c r="AP73" i="25"/>
  <c r="AR232" i="25"/>
  <c r="AP232" i="25"/>
  <c r="AR118" i="25"/>
  <c r="AP118" i="25"/>
  <c r="AR8" i="25"/>
  <c r="BJ8" i="25"/>
  <c r="BK8" i="25"/>
  <c r="AP8" i="25"/>
  <c r="BV8" i="25"/>
  <c r="BI8" i="25"/>
  <c r="AR40" i="25"/>
  <c r="BJ40" i="25"/>
  <c r="BK40" i="25"/>
  <c r="AP40" i="25"/>
  <c r="BI40" i="25"/>
  <c r="BV40" i="25"/>
  <c r="AR309" i="25"/>
  <c r="AP309" i="25"/>
  <c r="AR137" i="25"/>
  <c r="AP137" i="25"/>
  <c r="AR249" i="25"/>
  <c r="AP249" i="25"/>
  <c r="AR145" i="25"/>
  <c r="AP145" i="25"/>
  <c r="AR202" i="25"/>
  <c r="AP202" i="25"/>
  <c r="AR269" i="25"/>
  <c r="AP269" i="25"/>
  <c r="AR79" i="25"/>
  <c r="BJ79" i="25"/>
  <c r="BK79" i="25"/>
  <c r="AP79" i="25"/>
  <c r="BI79" i="25"/>
  <c r="BV79" i="25"/>
  <c r="AR287" i="25"/>
  <c r="AP287" i="25"/>
  <c r="AR120" i="25"/>
  <c r="AP120" i="25"/>
  <c r="AR176" i="25"/>
  <c r="AP176" i="25"/>
  <c r="AR273" i="25"/>
  <c r="AP273" i="25"/>
  <c r="AR231" i="25"/>
  <c r="AP231" i="25"/>
  <c r="AR165" i="25"/>
  <c r="AP165" i="25"/>
  <c r="AR70" i="25"/>
  <c r="BJ70" i="25"/>
  <c r="BK70" i="25"/>
  <c r="AP70" i="25"/>
  <c r="BI70" i="25"/>
  <c r="BV70" i="25"/>
  <c r="AR230" i="25"/>
  <c r="AP230" i="25"/>
  <c r="AR166" i="25"/>
  <c r="AP166" i="25"/>
  <c r="AP196" i="25"/>
  <c r="AR170" i="25"/>
  <c r="AP170" i="25"/>
  <c r="AR246" i="25"/>
  <c r="AP246" i="25"/>
  <c r="AR81" i="25"/>
  <c r="BJ81" i="25"/>
  <c r="BK81" i="25"/>
  <c r="AP81" i="25"/>
  <c r="BV81" i="25"/>
  <c r="BI81" i="25"/>
  <c r="AR259" i="25"/>
  <c r="AP259" i="25"/>
  <c r="AR311" i="25"/>
  <c r="AP311" i="25"/>
  <c r="AR102" i="25"/>
  <c r="BJ102" i="25"/>
  <c r="BK102" i="25"/>
  <c r="AP102" i="25"/>
  <c r="BV102" i="25"/>
  <c r="BI102" i="25"/>
  <c r="AR85" i="25"/>
  <c r="AT85" i="25" s="1"/>
  <c r="BJ85" i="25"/>
  <c r="BK85" i="25"/>
  <c r="AP85" i="25"/>
  <c r="AR98" i="25"/>
  <c r="AT98" i="25" s="1"/>
  <c r="BJ98" i="25"/>
  <c r="BK98" i="25"/>
  <c r="AP98" i="25"/>
  <c r="AR204" i="25"/>
  <c r="AP204" i="25"/>
  <c r="AR294" i="25"/>
  <c r="AP294" i="25"/>
  <c r="AR124" i="25"/>
  <c r="AP124" i="25"/>
  <c r="AR240" i="25"/>
  <c r="AP240" i="25"/>
  <c r="AR192" i="25"/>
  <c r="AP192" i="25"/>
  <c r="AR54" i="25"/>
  <c r="BJ54" i="25"/>
  <c r="BK54" i="25"/>
  <c r="AP54" i="25"/>
  <c r="BV54" i="25"/>
  <c r="BI54" i="25"/>
  <c r="AR60" i="25"/>
  <c r="AT60" i="25" s="1"/>
  <c r="BJ60" i="25"/>
  <c r="BK60" i="25"/>
  <c r="AP60" i="25"/>
  <c r="AR169" i="25"/>
  <c r="AP169" i="25"/>
  <c r="AR310" i="25"/>
  <c r="AP310" i="25"/>
  <c r="AR161" i="25"/>
  <c r="AP161" i="25"/>
  <c r="AR177" i="25"/>
  <c r="AP177" i="25"/>
  <c r="AR280" i="25"/>
  <c r="AP280" i="25"/>
  <c r="AR115" i="25"/>
  <c r="AP115" i="25"/>
  <c r="AR260" i="25"/>
  <c r="AP260" i="25"/>
  <c r="AR61" i="25"/>
  <c r="BJ61" i="25"/>
  <c r="BK61" i="25"/>
  <c r="AP61" i="25"/>
  <c r="BV61" i="25"/>
  <c r="BI61" i="25"/>
  <c r="AR290" i="25"/>
  <c r="AP290" i="25"/>
  <c r="AR71" i="25"/>
  <c r="BJ71" i="25"/>
  <c r="BK71" i="25"/>
  <c r="AP71" i="25"/>
  <c r="BI71" i="25"/>
  <c r="BV71" i="25"/>
  <c r="AP208" i="25"/>
  <c r="AR128" i="25"/>
  <c r="AP128" i="25"/>
  <c r="AR84" i="25"/>
  <c r="AT84" i="25" s="1"/>
  <c r="BJ84" i="25"/>
  <c r="BK84" i="25"/>
  <c r="AP84" i="25"/>
  <c r="AR29" i="25"/>
  <c r="BJ29" i="25"/>
  <c r="BK29" i="25"/>
  <c r="AP29" i="25"/>
  <c r="BI29" i="25"/>
  <c r="BV29" i="25"/>
  <c r="AR219" i="25"/>
  <c r="AP219" i="25"/>
  <c r="BI98" i="25"/>
  <c r="AR38" i="25"/>
  <c r="BJ38" i="25"/>
  <c r="BK38" i="25"/>
  <c r="AP38" i="25"/>
  <c r="BV38" i="25"/>
  <c r="BI38" i="25"/>
  <c r="AR55" i="25"/>
  <c r="AT55" i="25" s="1"/>
  <c r="BJ55" i="25"/>
  <c r="BK55" i="25"/>
  <c r="AP55" i="25"/>
  <c r="AR41" i="25"/>
  <c r="BJ41" i="25"/>
  <c r="BK41" i="25"/>
  <c r="AP41" i="25"/>
  <c r="BV41" i="25"/>
  <c r="BI41" i="25"/>
  <c r="AR194" i="25"/>
  <c r="AP194" i="25"/>
  <c r="AR22" i="25"/>
  <c r="BJ22" i="25"/>
  <c r="BK22" i="25"/>
  <c r="AP22" i="25"/>
  <c r="BI22" i="25"/>
  <c r="BV22" i="25"/>
  <c r="AR262" i="25"/>
  <c r="AP262" i="25"/>
  <c r="AR74" i="25"/>
  <c r="AT74" i="25" s="1"/>
  <c r="BJ74" i="25"/>
  <c r="BK74" i="25"/>
  <c r="AP74" i="25"/>
  <c r="AR288" i="25"/>
  <c r="AP288" i="25"/>
  <c r="AR266" i="25"/>
  <c r="AP266" i="25"/>
  <c r="AR155" i="25"/>
  <c r="AP155" i="25"/>
  <c r="AR153" i="25"/>
  <c r="AP153" i="25"/>
  <c r="AR135" i="25"/>
  <c r="AP135" i="25"/>
  <c r="AR244" i="25"/>
  <c r="AP244" i="25"/>
  <c r="AR99" i="25"/>
  <c r="AT99" i="25" s="1"/>
  <c r="BJ99" i="25"/>
  <c r="BK99" i="25"/>
  <c r="AP99" i="25"/>
  <c r="AR132" i="25"/>
  <c r="AP132" i="25"/>
  <c r="AR111" i="25"/>
  <c r="AP111" i="25"/>
  <c r="AR44" i="25"/>
  <c r="BJ44" i="25"/>
  <c r="BK44" i="25"/>
  <c r="AP44" i="25"/>
  <c r="BV44" i="25"/>
  <c r="BI44" i="25"/>
  <c r="AR314" i="25"/>
  <c r="AP314" i="25"/>
  <c r="AR80" i="25"/>
  <c r="AT80" i="25" s="1"/>
  <c r="BJ80" i="25"/>
  <c r="BK80" i="25"/>
  <c r="AP80" i="25"/>
  <c r="BI55" i="25"/>
  <c r="AR147" i="25"/>
  <c r="AP147" i="25"/>
  <c r="AR239" i="25"/>
  <c r="AP239" i="25"/>
  <c r="AR227" i="25"/>
  <c r="AP227" i="25"/>
  <c r="AR257" i="25"/>
  <c r="AP257" i="25"/>
  <c r="AR300" i="25"/>
  <c r="AP300" i="25"/>
  <c r="AR82" i="25"/>
  <c r="BJ82" i="25"/>
  <c r="BK82" i="25"/>
  <c r="AP82" i="25"/>
  <c r="BV82" i="25"/>
  <c r="BI82" i="25"/>
  <c r="AR30" i="25"/>
  <c r="BJ30" i="25"/>
  <c r="BK30" i="25"/>
  <c r="AP30" i="25"/>
  <c r="BV30" i="25"/>
  <c r="BI30" i="25"/>
  <c r="AR88" i="25"/>
  <c r="BJ88" i="25"/>
  <c r="BK88" i="25"/>
  <c r="AP88" i="25"/>
  <c r="BI88" i="25"/>
  <c r="BV88" i="25"/>
  <c r="AR201" i="25"/>
  <c r="AP201" i="25"/>
  <c r="AR308" i="25"/>
  <c r="AP308" i="25"/>
  <c r="AR21" i="25"/>
  <c r="BJ21" i="25"/>
  <c r="BK21" i="25"/>
  <c r="AP21" i="25"/>
  <c r="BI21" i="25"/>
  <c r="BV21" i="25"/>
  <c r="AR286" i="25"/>
  <c r="AP286" i="25"/>
  <c r="AR307" i="25"/>
  <c r="AP307" i="25"/>
  <c r="AR238" i="25"/>
  <c r="AP238" i="25"/>
  <c r="AR83" i="25"/>
  <c r="BJ83" i="25"/>
  <c r="BK83" i="25"/>
  <c r="AP83" i="25"/>
  <c r="BI83" i="25"/>
  <c r="BV83" i="25"/>
  <c r="AR248" i="25"/>
  <c r="AP248" i="25"/>
  <c r="AR222" i="25"/>
  <c r="AP222" i="25"/>
  <c r="BI99" i="25"/>
  <c r="AR140" i="25"/>
  <c r="AP140" i="25"/>
  <c r="AR47" i="25"/>
  <c r="BJ47" i="25"/>
  <c r="BK47" i="25"/>
  <c r="AP47" i="25"/>
  <c r="BV47" i="25"/>
  <c r="BI47" i="25"/>
  <c r="AR179" i="25"/>
  <c r="AP179" i="25"/>
  <c r="AR195" i="25"/>
  <c r="AP195" i="25"/>
  <c r="AR142" i="25"/>
  <c r="AP142" i="25"/>
  <c r="AR270" i="25"/>
  <c r="AP270" i="25"/>
  <c r="AR263" i="25"/>
  <c r="AP263" i="25"/>
  <c r="AR37" i="25"/>
  <c r="BJ37" i="25"/>
  <c r="BK37" i="25"/>
  <c r="AP37" i="25"/>
  <c r="BV37" i="25"/>
  <c r="BI37" i="25"/>
  <c r="AR25" i="25"/>
  <c r="AT25" i="25" s="1"/>
  <c r="BJ25" i="25"/>
  <c r="BK25" i="25"/>
  <c r="AP25" i="25"/>
  <c r="AR100" i="25"/>
  <c r="BJ100" i="25"/>
  <c r="BK100" i="25"/>
  <c r="AP100" i="25"/>
  <c r="BI100" i="25"/>
  <c r="BV100" i="25"/>
  <c r="AR225" i="25"/>
  <c r="AP225" i="25"/>
  <c r="AR242" i="25"/>
  <c r="AP242" i="25"/>
  <c r="AR299" i="25"/>
  <c r="AP299" i="25"/>
  <c r="AR220" i="25"/>
  <c r="AP220" i="25"/>
  <c r="AR304" i="25"/>
  <c r="AP304" i="25"/>
  <c r="AR141" i="25"/>
  <c r="AP141" i="25"/>
  <c r="AR305" i="25"/>
  <c r="AP305" i="25"/>
  <c r="AR281" i="25"/>
  <c r="AP281" i="25"/>
  <c r="AR10" i="25"/>
  <c r="AT10" i="25" s="1"/>
  <c r="BJ10" i="25"/>
  <c r="BK10" i="25"/>
  <c r="AP10" i="25"/>
  <c r="AR67" i="25"/>
  <c r="BJ67" i="25"/>
  <c r="BK67" i="25"/>
  <c r="AP67" i="25"/>
  <c r="BV67" i="25"/>
  <c r="BI67" i="25"/>
  <c r="AR90" i="25"/>
  <c r="AT90" i="25" s="1"/>
  <c r="BJ90" i="25"/>
  <c r="BK90" i="25"/>
  <c r="AP90" i="25"/>
  <c r="AR69" i="25"/>
  <c r="BJ69" i="25"/>
  <c r="BK69" i="25"/>
  <c r="AP69" i="25"/>
  <c r="BV69" i="25"/>
  <c r="BI69" i="25"/>
  <c r="AR114" i="25"/>
  <c r="AP114" i="25"/>
  <c r="AR105" i="25"/>
  <c r="BJ105" i="25"/>
  <c r="BK105" i="25"/>
  <c r="AP105" i="25"/>
  <c r="BI105" i="25"/>
  <c r="BV105" i="25"/>
  <c r="AR149" i="25"/>
  <c r="AP149" i="25"/>
  <c r="AR28" i="25"/>
  <c r="BJ28" i="25"/>
  <c r="BK28" i="25"/>
  <c r="AP28" i="25"/>
  <c r="BV28" i="25"/>
  <c r="BI28" i="25"/>
  <c r="AR200" i="25"/>
  <c r="AP200" i="25"/>
  <c r="AR18" i="25"/>
  <c r="AT18" i="25" s="1"/>
  <c r="BJ18" i="25"/>
  <c r="BK18" i="25"/>
  <c r="AP18" i="25"/>
  <c r="AR158" i="25"/>
  <c r="AP158" i="25"/>
  <c r="AR292" i="25"/>
  <c r="AP292" i="25"/>
  <c r="AR297" i="25"/>
  <c r="AP297" i="25"/>
  <c r="AR247" i="25"/>
  <c r="AP247" i="25"/>
  <c r="BI25" i="25"/>
  <c r="AR235" i="25"/>
  <c r="AP235" i="25"/>
  <c r="AR275" i="25"/>
  <c r="AP275" i="25"/>
  <c r="AR315" i="25"/>
  <c r="AP315" i="25"/>
  <c r="AR224" i="25"/>
  <c r="AP224" i="25"/>
  <c r="AR121" i="25"/>
  <c r="AP121" i="25"/>
  <c r="AR139" i="25"/>
  <c r="AP139" i="25"/>
  <c r="AR180" i="25"/>
  <c r="AP180" i="25"/>
  <c r="AP113" i="25"/>
  <c r="AR56" i="25"/>
  <c r="BJ56" i="25"/>
  <c r="BK56" i="25"/>
  <c r="AP56" i="25"/>
  <c r="BI56" i="25"/>
  <c r="BV56" i="25"/>
  <c r="AR274" i="25"/>
  <c r="AP274" i="25"/>
  <c r="AR14" i="25"/>
  <c r="BJ14" i="25"/>
  <c r="BK14" i="25"/>
  <c r="AP14" i="25"/>
  <c r="BI14" i="25"/>
  <c r="BV14" i="25"/>
  <c r="AR93" i="25"/>
  <c r="BJ93" i="25"/>
  <c r="BK93" i="25"/>
  <c r="AP93" i="25"/>
  <c r="BI93" i="25"/>
  <c r="BV93" i="25"/>
  <c r="AR271" i="25"/>
  <c r="AP271" i="25"/>
  <c r="AR256" i="25"/>
  <c r="AP256" i="25"/>
  <c r="AR136" i="25"/>
  <c r="AP136" i="25"/>
  <c r="AR138" i="25"/>
  <c r="AP138" i="25"/>
  <c r="AR116" i="25"/>
  <c r="AP116" i="25"/>
  <c r="AR226" i="25"/>
  <c r="AP226" i="25"/>
  <c r="AR189" i="25"/>
  <c r="AP189" i="25"/>
  <c r="AR267" i="25"/>
  <c r="AP267" i="25"/>
  <c r="AR91" i="25"/>
  <c r="BJ91" i="25"/>
  <c r="BK91" i="25"/>
  <c r="AP91" i="25"/>
  <c r="BV91" i="25"/>
  <c r="BI91" i="25"/>
  <c r="AR306" i="25"/>
  <c r="AP306" i="25"/>
  <c r="AR134" i="25"/>
  <c r="AP134" i="25"/>
  <c r="AR190" i="25"/>
  <c r="AP190" i="25"/>
  <c r="AR68" i="25"/>
  <c r="BJ68" i="25"/>
  <c r="BK68" i="25"/>
  <c r="AP68" i="25"/>
  <c r="BV68" i="25"/>
  <c r="BI68" i="25"/>
  <c r="AR199" i="25"/>
  <c r="AP199" i="25"/>
  <c r="AR207" i="25"/>
  <c r="AP207" i="25"/>
  <c r="AR86" i="25"/>
  <c r="BJ86" i="25"/>
  <c r="BK86" i="25"/>
  <c r="AP86" i="25"/>
  <c r="BV86" i="25"/>
  <c r="BI86" i="25"/>
  <c r="AR258" i="25"/>
  <c r="AP258" i="25"/>
  <c r="AR283" i="25"/>
  <c r="AP283" i="25"/>
  <c r="AP197" i="25"/>
  <c r="AR183" i="25"/>
  <c r="AP183" i="25"/>
  <c r="AR276" i="25"/>
  <c r="AP276" i="25"/>
  <c r="AR13" i="25"/>
  <c r="BJ13" i="25"/>
  <c r="BK13" i="25"/>
  <c r="AP13" i="25"/>
  <c r="BV13" i="25"/>
  <c r="BI13" i="25"/>
  <c r="AR255" i="25"/>
  <c r="AP255" i="25"/>
  <c r="AR24" i="25"/>
  <c r="BJ24" i="25"/>
  <c r="BK24" i="25"/>
  <c r="AP24" i="25"/>
  <c r="BV24" i="25"/>
  <c r="BI24" i="25"/>
  <c r="AR291" i="25"/>
  <c r="AP291" i="25"/>
  <c r="AR181" i="25"/>
  <c r="AP181" i="25"/>
  <c r="AR65" i="25"/>
  <c r="AT65" i="25" s="1"/>
  <c r="BJ65" i="25"/>
  <c r="BK65" i="25"/>
  <c r="AP65" i="25"/>
  <c r="AR45" i="25"/>
  <c r="AT45" i="25" s="1"/>
  <c r="BJ45" i="25"/>
  <c r="BK45" i="25"/>
  <c r="AP45" i="25"/>
  <c r="AR236" i="25"/>
  <c r="AP236" i="25"/>
  <c r="AR188" i="25"/>
  <c r="AP188" i="25"/>
  <c r="AR129" i="25"/>
  <c r="AP129" i="25"/>
  <c r="AR316" i="25"/>
  <c r="AP316" i="25"/>
  <c r="AR152" i="25"/>
  <c r="AP152" i="25"/>
  <c r="AR34" i="25"/>
  <c r="AT34" i="25" s="1"/>
  <c r="BJ34" i="25"/>
  <c r="BK34" i="25"/>
  <c r="AP34" i="25"/>
  <c r="AR87" i="25"/>
  <c r="BJ87" i="25"/>
  <c r="BK87" i="25"/>
  <c r="AP87" i="25"/>
  <c r="BI87" i="25"/>
  <c r="BV87" i="25"/>
  <c r="AR31" i="25"/>
  <c r="BJ31" i="25"/>
  <c r="BK31" i="25"/>
  <c r="AP31" i="25"/>
  <c r="BV31" i="25"/>
  <c r="BI31" i="25"/>
  <c r="AR261" i="25"/>
  <c r="AP261" i="25"/>
  <c r="AR94" i="25"/>
  <c r="BJ94" i="25"/>
  <c r="BK94" i="25"/>
  <c r="AP94" i="25"/>
  <c r="BI94" i="25"/>
  <c r="BV94" i="25"/>
  <c r="AR42" i="25"/>
  <c r="BJ42" i="25"/>
  <c r="BK42" i="25"/>
  <c r="AP42" i="25"/>
  <c r="BI42" i="25"/>
  <c r="BV42" i="25"/>
  <c r="AR296" i="25"/>
  <c r="AP296" i="25"/>
  <c r="AR234" i="25"/>
  <c r="AP234" i="25"/>
  <c r="AR77" i="25"/>
  <c r="AT77" i="25" s="1"/>
  <c r="BJ77" i="25"/>
  <c r="BK77" i="25"/>
  <c r="AP77" i="25"/>
  <c r="AR301" i="25"/>
  <c r="AP301" i="25"/>
  <c r="AR245" i="25"/>
  <c r="AP245" i="25"/>
  <c r="AR228" i="25"/>
  <c r="AP228" i="25"/>
  <c r="AR318" i="25"/>
  <c r="AP318" i="25"/>
  <c r="AR167" i="25"/>
  <c r="AP167" i="25"/>
  <c r="AR285" i="25"/>
  <c r="AP285" i="25"/>
  <c r="AR203" i="25"/>
  <c r="AP203" i="25"/>
  <c r="AR96" i="25"/>
  <c r="BJ96" i="25"/>
  <c r="BK96" i="25"/>
  <c r="AP96" i="25"/>
  <c r="BI96" i="25"/>
  <c r="BV96" i="25"/>
  <c r="AR154" i="25"/>
  <c r="AP154" i="25"/>
  <c r="AR19" i="25"/>
  <c r="AT19" i="25" s="1"/>
  <c r="BJ19" i="25"/>
  <c r="BK19" i="25"/>
  <c r="AP19" i="25"/>
  <c r="AR52" i="25"/>
  <c r="BJ52" i="25"/>
  <c r="BK52" i="25"/>
  <c r="AP52" i="25"/>
  <c r="BV52" i="25"/>
  <c r="BI52" i="25"/>
  <c r="BI65" i="25"/>
  <c r="AR119" i="25"/>
  <c r="AP119" i="25"/>
  <c r="AR101" i="25"/>
  <c r="BJ101" i="25"/>
  <c r="BK101" i="25"/>
  <c r="AP101" i="25"/>
  <c r="BV101" i="25"/>
  <c r="BI101" i="25"/>
  <c r="AR144" i="25"/>
  <c r="AP144" i="25"/>
  <c r="AR265" i="25"/>
  <c r="AP265" i="25"/>
  <c r="AR241" i="25"/>
  <c r="AP241" i="25"/>
  <c r="AR251" i="25"/>
  <c r="AP251" i="25"/>
  <c r="AR97" i="25"/>
  <c r="BJ97" i="25"/>
  <c r="BK97" i="25"/>
  <c r="AP97" i="25"/>
  <c r="BV97" i="25"/>
  <c r="BI97" i="25"/>
  <c r="AR243" i="25"/>
  <c r="AP243" i="25"/>
  <c r="AR289" i="25"/>
  <c r="AP289" i="25"/>
  <c r="AR89" i="25"/>
  <c r="AT89" i="25" s="1"/>
  <c r="BJ89" i="25"/>
  <c r="BK89" i="25"/>
  <c r="AP89" i="25"/>
  <c r="AR278" i="25"/>
  <c r="AP278" i="25"/>
  <c r="BV45" i="25"/>
  <c r="BV73" i="25"/>
  <c r="AR182" i="25"/>
  <c r="AP182" i="25"/>
  <c r="AR35" i="25"/>
  <c r="BJ35" i="25"/>
  <c r="BK35" i="25"/>
  <c r="AP35" i="25"/>
  <c r="BV35" i="25"/>
  <c r="BI35" i="25"/>
  <c r="AR57" i="25"/>
  <c r="AT57" i="25" s="1"/>
  <c r="BJ57" i="25"/>
  <c r="BK57" i="25"/>
  <c r="AP57" i="25"/>
  <c r="AR312" i="25"/>
  <c r="AP312" i="25"/>
  <c r="BI57" i="25"/>
  <c r="AR159" i="25"/>
  <c r="AP159" i="25"/>
  <c r="BV60" i="25"/>
  <c r="AR59" i="25"/>
  <c r="BJ59" i="25"/>
  <c r="BK59" i="25"/>
  <c r="AP59" i="25"/>
  <c r="BV59" i="25"/>
  <c r="BI59" i="25"/>
  <c r="AR162" i="25"/>
  <c r="AP162" i="25"/>
  <c r="AR277" i="25"/>
  <c r="AP277" i="25"/>
  <c r="AR317" i="25"/>
  <c r="AP317" i="25"/>
  <c r="BV77" i="25"/>
  <c r="BI85" i="25"/>
  <c r="AR221" i="25"/>
  <c r="AP221" i="25"/>
  <c r="AR123" i="25"/>
  <c r="AP123" i="25"/>
  <c r="AR302" i="25"/>
  <c r="AP302" i="25"/>
  <c r="AR33" i="25"/>
  <c r="AT33" i="25" s="1"/>
  <c r="BJ33" i="25"/>
  <c r="BK33" i="25"/>
  <c r="AP33" i="25"/>
  <c r="AR50" i="25"/>
  <c r="AT50" i="25" s="1"/>
  <c r="BJ50" i="25"/>
  <c r="BK50" i="25"/>
  <c r="AP50" i="25"/>
  <c r="AR303" i="25"/>
  <c r="AP303" i="25"/>
  <c r="AR63" i="25"/>
  <c r="BJ63" i="25"/>
  <c r="BK63" i="25"/>
  <c r="AP63" i="25"/>
  <c r="BI63" i="25"/>
  <c r="BV63" i="25"/>
  <c r="AR146" i="25"/>
  <c r="AP146" i="25"/>
  <c r="AR264" i="25"/>
  <c r="AP264" i="25"/>
  <c r="AR205" i="25"/>
  <c r="AP205" i="25"/>
  <c r="AR175" i="25"/>
  <c r="AP175" i="25"/>
  <c r="AR163" i="25"/>
  <c r="AP163" i="25"/>
  <c r="AP172" i="25"/>
  <c r="AR250" i="25"/>
  <c r="AP250" i="25"/>
  <c r="AP209" i="25"/>
  <c r="AR48" i="25"/>
  <c r="BJ48" i="25"/>
  <c r="BK48" i="25"/>
  <c r="AP48" i="25"/>
  <c r="BI48" i="25"/>
  <c r="BV48" i="25"/>
  <c r="AR237" i="25"/>
  <c r="AP237" i="25"/>
  <c r="BI74" i="25"/>
  <c r="BV99" i="25"/>
  <c r="AR187" i="25"/>
  <c r="AP187" i="25"/>
  <c r="AR23" i="25"/>
  <c r="AT23" i="25" s="1"/>
  <c r="BJ23" i="25"/>
  <c r="BK23" i="25"/>
  <c r="AP23" i="25"/>
  <c r="AR46" i="25"/>
  <c r="AT46" i="25" s="1"/>
  <c r="BJ46" i="25"/>
  <c r="BK46" i="25"/>
  <c r="AP46" i="25"/>
  <c r="AR130" i="25"/>
  <c r="AP130" i="25"/>
  <c r="AR76" i="25"/>
  <c r="BJ76" i="25"/>
  <c r="BK76" i="25"/>
  <c r="AP76" i="25"/>
  <c r="BV76" i="25"/>
  <c r="BI76" i="25"/>
  <c r="AR36" i="25"/>
  <c r="BJ36" i="25"/>
  <c r="BK36" i="25"/>
  <c r="AP36" i="25"/>
  <c r="BI36" i="25"/>
  <c r="BV36" i="25"/>
  <c r="BV84" i="25"/>
  <c r="AR12" i="25"/>
  <c r="BJ12" i="25"/>
  <c r="BK12" i="25"/>
  <c r="AP12" i="25"/>
  <c r="BV12" i="25"/>
  <c r="BI12" i="25"/>
  <c r="BJ6" i="25"/>
  <c r="AR6" i="25"/>
  <c r="BK6" i="25"/>
  <c r="AP6" i="25"/>
  <c r="BI6" i="25"/>
  <c r="BV6" i="25"/>
  <c r="AR282" i="25"/>
  <c r="AP282" i="25"/>
  <c r="AR185" i="25"/>
  <c r="AP185" i="25"/>
  <c r="AR62" i="25"/>
  <c r="BJ62" i="25"/>
  <c r="BK62" i="25"/>
  <c r="AP62" i="25"/>
  <c r="BV62" i="25"/>
  <c r="BI62" i="25"/>
  <c r="AR229" i="25"/>
  <c r="AP229" i="25"/>
  <c r="AP198" i="25"/>
  <c r="AR43" i="25"/>
  <c r="AT43" i="25" s="1"/>
  <c r="BJ43" i="25"/>
  <c r="BK43" i="25"/>
  <c r="AP43" i="25"/>
  <c r="AR223" i="25"/>
  <c r="AP223" i="25"/>
  <c r="AR122" i="25"/>
  <c r="AP122" i="25"/>
  <c r="AR168" i="25"/>
  <c r="AP168" i="25"/>
  <c r="BV19" i="25"/>
  <c r="AR11" i="25"/>
  <c r="BJ11" i="25"/>
  <c r="BK11" i="25"/>
  <c r="AP11" i="25"/>
  <c r="BV11" i="25"/>
  <c r="BI11" i="25"/>
  <c r="BI80" i="25"/>
  <c r="AR104" i="25"/>
  <c r="BJ104" i="25"/>
  <c r="BK104" i="25"/>
  <c r="AP104" i="25"/>
  <c r="BV104" i="25"/>
  <c r="BI104" i="25"/>
  <c r="BJ9" i="25"/>
  <c r="AR9" i="25"/>
  <c r="BK9" i="25"/>
  <c r="AP9" i="25"/>
  <c r="BI9" i="25"/>
  <c r="BV9" i="25"/>
  <c r="AR32" i="25"/>
  <c r="AT32" i="25" s="1"/>
  <c r="BJ32" i="25"/>
  <c r="BK32" i="25"/>
  <c r="AP32" i="25"/>
  <c r="AR92" i="25"/>
  <c r="BJ92" i="25"/>
  <c r="BK92" i="25"/>
  <c r="AP92" i="25"/>
  <c r="BI92" i="25"/>
  <c r="BV92" i="25"/>
  <c r="AR279" i="25"/>
  <c r="AP279" i="25"/>
  <c r="AR58" i="25"/>
  <c r="AT58" i="25" s="1"/>
  <c r="BJ58" i="25"/>
  <c r="BK58" i="25"/>
  <c r="AP58" i="25"/>
  <c r="BV34" i="25"/>
  <c r="AR72" i="25"/>
  <c r="AT72" i="25" s="1"/>
  <c r="BJ72" i="25"/>
  <c r="BK72" i="25"/>
  <c r="AP72" i="25"/>
  <c r="AR117" i="25"/>
  <c r="AP117" i="25"/>
  <c r="AR160" i="25"/>
  <c r="AP160" i="25"/>
  <c r="AR49" i="25"/>
  <c r="BJ49" i="25"/>
  <c r="BK49" i="25"/>
  <c r="AP49" i="25"/>
  <c r="BI49" i="25"/>
  <c r="BV49" i="25"/>
  <c r="AR293" i="25"/>
  <c r="AP293" i="25"/>
  <c r="AR191" i="25"/>
  <c r="AP191" i="25"/>
  <c r="AR150" i="25"/>
  <c r="AP150" i="25"/>
  <c r="AR75" i="25"/>
  <c r="AT75" i="25" s="1"/>
  <c r="BJ75" i="25"/>
  <c r="BK75" i="25"/>
  <c r="AP75" i="25"/>
  <c r="AR151" i="25"/>
  <c r="AP151" i="25"/>
  <c r="AR268" i="25"/>
  <c r="AP268" i="25"/>
  <c r="AR171" i="25"/>
  <c r="AP171" i="25"/>
  <c r="AR95" i="25"/>
  <c r="AT95" i="25" s="1"/>
  <c r="BJ95" i="25"/>
  <c r="BK95" i="25"/>
  <c r="AP95" i="25"/>
  <c r="AR112" i="25"/>
  <c r="AP112" i="25"/>
  <c r="AR7" i="25"/>
  <c r="AT7" i="25" s="1"/>
  <c r="BJ7" i="25"/>
  <c r="BK7" i="25"/>
  <c r="AP7" i="25"/>
  <c r="AR51" i="25"/>
  <c r="BJ51" i="25"/>
  <c r="BK51" i="25"/>
  <c r="AP51" i="25"/>
  <c r="BV51" i="25"/>
  <c r="BI51" i="25"/>
  <c r="AR284" i="25"/>
  <c r="AP284" i="25"/>
  <c r="AR186" i="25"/>
  <c r="AP186" i="25"/>
  <c r="BI45" i="25"/>
  <c r="AR64" i="25"/>
  <c r="BJ64" i="25"/>
  <c r="BK64" i="25"/>
  <c r="AP64" i="25"/>
  <c r="BV64" i="25"/>
  <c r="BI64" i="25"/>
  <c r="BI73" i="25"/>
  <c r="AR254" i="25"/>
  <c r="AP254" i="25"/>
  <c r="AR16" i="25"/>
  <c r="AT16" i="25" s="1"/>
  <c r="BJ16" i="25"/>
  <c r="BK16" i="25"/>
  <c r="AP16" i="25"/>
  <c r="AR253" i="25"/>
  <c r="AP253" i="25"/>
  <c r="AR20" i="25"/>
  <c r="BJ20" i="25"/>
  <c r="BK20" i="25"/>
  <c r="AP20" i="25"/>
  <c r="BV20" i="25"/>
  <c r="BI20" i="25"/>
  <c r="AR39" i="25"/>
  <c r="AT39" i="25" s="1"/>
  <c r="BJ39" i="25"/>
  <c r="BK39" i="25"/>
  <c r="AP39" i="25"/>
  <c r="AR53" i="25"/>
  <c r="BJ53" i="25"/>
  <c r="BK53" i="25"/>
  <c r="AP53" i="25"/>
  <c r="BV53" i="25"/>
  <c r="BI53" i="25"/>
  <c r="AR78" i="25"/>
  <c r="BJ78" i="25"/>
  <c r="BK78" i="25"/>
  <c r="AP78" i="25"/>
  <c r="BI78" i="25"/>
  <c r="BV78" i="25"/>
  <c r="AR252" i="25"/>
  <c r="AP252" i="25"/>
  <c r="AR66" i="25"/>
  <c r="AT66" i="25" s="1"/>
  <c r="BJ66" i="25"/>
  <c r="BK66" i="25"/>
  <c r="AP66" i="25"/>
  <c r="AR17" i="25"/>
  <c r="BJ17" i="25"/>
  <c r="BK17" i="25"/>
  <c r="AP17" i="25"/>
  <c r="BV17" i="25"/>
  <c r="BI17" i="25"/>
  <c r="BI23" i="25"/>
  <c r="AR178" i="25"/>
  <c r="AP178" i="25"/>
  <c r="AP210" i="25"/>
  <c r="AR15" i="25"/>
  <c r="BJ15" i="25"/>
  <c r="BK15" i="25"/>
  <c r="AP15" i="25"/>
  <c r="BI15" i="25"/>
  <c r="BV15" i="25"/>
  <c r="AR157" i="25"/>
  <c r="AP157" i="25"/>
  <c r="AR103" i="25"/>
  <c r="BJ103" i="25"/>
  <c r="BK103" i="25"/>
  <c r="AP103" i="25"/>
  <c r="BV103" i="25"/>
  <c r="BI103" i="25"/>
  <c r="AR173" i="25"/>
  <c r="AP173" i="25"/>
  <c r="AR26" i="25"/>
  <c r="BJ26" i="25"/>
  <c r="BK26" i="25"/>
  <c r="AP26" i="25"/>
  <c r="BI26" i="25"/>
  <c r="BV26" i="25"/>
  <c r="AR295" i="25"/>
  <c r="AP295" i="25"/>
  <c r="BV10" i="25"/>
  <c r="AR174" i="25"/>
  <c r="AP174" i="25"/>
  <c r="BU19" i="24"/>
  <c r="BU36" i="24"/>
  <c r="BU40" i="24"/>
  <c r="BU18" i="24"/>
  <c r="BJ82" i="24"/>
  <c r="BU82" i="24"/>
  <c r="BJ68" i="24"/>
  <c r="BU68" i="24"/>
  <c r="BJ83" i="24"/>
  <c r="BU83" i="24"/>
  <c r="BJ89" i="24"/>
  <c r="BU89" i="24"/>
  <c r="BJ79" i="24"/>
  <c r="BU79" i="24"/>
  <c r="BJ32" i="24"/>
  <c r="BU32" i="24"/>
  <c r="BJ56" i="24"/>
  <c r="BU56" i="24"/>
  <c r="BJ63" i="24"/>
  <c r="BU63" i="24"/>
  <c r="BJ29" i="24"/>
  <c r="BU29" i="24"/>
  <c r="BU46" i="24"/>
  <c r="BJ59" i="24"/>
  <c r="BU59" i="24"/>
  <c r="BJ96" i="24"/>
  <c r="BU96" i="24"/>
  <c r="BJ31" i="24"/>
  <c r="BU31" i="24"/>
  <c r="BJ100" i="24"/>
  <c r="BU100" i="24"/>
  <c r="BJ54" i="24"/>
  <c r="BU54" i="24"/>
  <c r="BJ92" i="24"/>
  <c r="BU92" i="24"/>
  <c r="BJ72" i="24"/>
  <c r="BU72" i="24"/>
  <c r="BJ42" i="24"/>
  <c r="BU42" i="24"/>
  <c r="BU21" i="24"/>
  <c r="BU28" i="24"/>
  <c r="BJ85" i="24"/>
  <c r="AS40" i="24"/>
  <c r="BK32" i="24"/>
  <c r="AS32" i="24"/>
  <c r="AW32" i="24" s="1"/>
  <c r="AY32" i="24" s="1"/>
  <c r="AZ32" i="24" s="1"/>
  <c r="BL32" i="24"/>
  <c r="AQ40" i="24"/>
  <c r="BK40" i="24"/>
  <c r="BL40" i="24"/>
  <c r="AQ32" i="24"/>
  <c r="AS201" i="24"/>
  <c r="AQ201" i="24"/>
  <c r="AS202" i="24"/>
  <c r="AQ202" i="24"/>
  <c r="AS200" i="24"/>
  <c r="CD200" i="24"/>
  <c r="AS197" i="24"/>
  <c r="AQ197" i="24"/>
  <c r="AS185" i="24"/>
  <c r="AQ185" i="24"/>
  <c r="AS183" i="24"/>
  <c r="AQ183" i="24"/>
  <c r="AS187" i="24"/>
  <c r="AQ187" i="24"/>
  <c r="AS190" i="24"/>
  <c r="AQ190" i="24"/>
  <c r="BJ18" i="24"/>
  <c r="BK53" i="24"/>
  <c r="BJ53" i="24"/>
  <c r="BL56" i="24"/>
  <c r="BK56" i="24"/>
  <c r="BL63" i="24"/>
  <c r="BK63" i="24"/>
  <c r="BL29" i="24"/>
  <c r="BK29" i="24"/>
  <c r="BL100" i="24"/>
  <c r="BK100" i="24"/>
  <c r="BL36" i="24"/>
  <c r="BK36" i="24"/>
  <c r="BL54" i="24"/>
  <c r="BK54" i="24"/>
  <c r="BL92" i="24"/>
  <c r="BK92" i="24"/>
  <c r="BL72" i="24"/>
  <c r="BK72" i="24"/>
  <c r="BL85" i="24"/>
  <c r="BK85" i="24"/>
  <c r="BL42" i="24"/>
  <c r="BK42" i="24"/>
  <c r="BL82" i="24"/>
  <c r="BK82" i="24"/>
  <c r="BK74" i="24"/>
  <c r="BL68" i="24"/>
  <c r="BK68" i="24"/>
  <c r="BL59" i="24"/>
  <c r="BK59" i="24"/>
  <c r="BL96" i="24"/>
  <c r="BK96" i="24"/>
  <c r="BL83" i="24"/>
  <c r="BK83" i="24"/>
  <c r="BL28" i="24"/>
  <c r="BK28" i="24"/>
  <c r="BL89" i="24"/>
  <c r="BK89" i="24"/>
  <c r="BL21" i="24"/>
  <c r="BK21" i="24"/>
  <c r="BL46" i="24"/>
  <c r="BK46" i="24"/>
  <c r="BL79" i="24"/>
  <c r="BK79" i="24"/>
  <c r="BL19" i="24"/>
  <c r="BK19" i="24"/>
  <c r="BL31" i="24"/>
  <c r="BK31" i="24"/>
  <c r="AQ18" i="24"/>
  <c r="BL18" i="24"/>
  <c r="AS53" i="24"/>
  <c r="AW53" i="24" s="1"/>
  <c r="AY53" i="24" s="1"/>
  <c r="BL53" i="24"/>
  <c r="AS18" i="24"/>
  <c r="AQ53" i="24"/>
  <c r="AQ100" i="24"/>
  <c r="AS100" i="24"/>
  <c r="AQ36" i="24"/>
  <c r="AS36" i="24"/>
  <c r="AQ258" i="24"/>
  <c r="AS258" i="24"/>
  <c r="AQ305" i="24"/>
  <c r="AS305" i="24"/>
  <c r="AQ250" i="24"/>
  <c r="AS250" i="24"/>
  <c r="AQ311" i="24"/>
  <c r="AS311" i="24"/>
  <c r="AQ289" i="24"/>
  <c r="AS289" i="24"/>
  <c r="AQ249" i="24"/>
  <c r="AS249" i="24"/>
  <c r="AQ248" i="24"/>
  <c r="AS248" i="24"/>
  <c r="AQ246" i="24"/>
  <c r="AS246" i="24"/>
  <c r="AQ126" i="24"/>
  <c r="AS126" i="24"/>
  <c r="AQ164" i="24"/>
  <c r="AS164" i="24"/>
  <c r="AQ142" i="24"/>
  <c r="AS142" i="24"/>
  <c r="AQ135" i="24"/>
  <c r="AS135" i="24"/>
  <c r="AQ137" i="24"/>
  <c r="AS137" i="24"/>
  <c r="AQ179" i="24"/>
  <c r="AS179" i="24"/>
  <c r="AQ85" i="24"/>
  <c r="AS85" i="24"/>
  <c r="AQ42" i="24"/>
  <c r="AS42" i="24"/>
  <c r="AQ231" i="24"/>
  <c r="AS231" i="24"/>
  <c r="AQ281" i="24"/>
  <c r="AS281" i="24"/>
  <c r="AQ241" i="24"/>
  <c r="AS241" i="24"/>
  <c r="AQ277" i="24"/>
  <c r="AS277" i="24"/>
  <c r="AQ220" i="24"/>
  <c r="AS220" i="24"/>
  <c r="AQ272" i="24"/>
  <c r="AS272" i="24"/>
  <c r="AQ283" i="24"/>
  <c r="AS283" i="24"/>
  <c r="AQ221" i="24"/>
  <c r="AS221" i="24"/>
  <c r="AQ244" i="24"/>
  <c r="AS244" i="24"/>
  <c r="AQ276" i="24"/>
  <c r="AS276" i="24"/>
  <c r="AQ271" i="24"/>
  <c r="AS271" i="24"/>
  <c r="AQ236" i="24"/>
  <c r="AS236" i="24"/>
  <c r="AQ222" i="24"/>
  <c r="AS222" i="24"/>
  <c r="AQ59" i="24"/>
  <c r="AS59" i="24"/>
  <c r="AQ96" i="24"/>
  <c r="AS96" i="24"/>
  <c r="AQ173" i="24"/>
  <c r="AS173" i="24"/>
  <c r="AQ120" i="24"/>
  <c r="AS120" i="24"/>
  <c r="AQ138" i="24"/>
  <c r="AS138" i="24"/>
  <c r="AQ127" i="24"/>
  <c r="AS127" i="24"/>
  <c r="AQ178" i="24"/>
  <c r="AS178" i="24"/>
  <c r="AQ28" i="24"/>
  <c r="AS28" i="24"/>
  <c r="AQ89" i="24"/>
  <c r="AS89" i="24"/>
  <c r="AQ21" i="24"/>
  <c r="AS21" i="24"/>
  <c r="AQ269" i="24"/>
  <c r="AS269" i="24"/>
  <c r="AQ255" i="24"/>
  <c r="AS255" i="24"/>
  <c r="AQ300" i="24"/>
  <c r="AS300" i="24"/>
  <c r="AQ294" i="24"/>
  <c r="AS294" i="24"/>
  <c r="AQ252" i="24"/>
  <c r="AS252" i="24"/>
  <c r="AQ295" i="24"/>
  <c r="AS295" i="24"/>
  <c r="AQ230" i="24"/>
  <c r="AS230" i="24"/>
  <c r="AQ253" i="24"/>
  <c r="AS253" i="24"/>
  <c r="AQ274" i="24"/>
  <c r="AS274" i="24"/>
  <c r="AQ245" i="24"/>
  <c r="AS245" i="24"/>
  <c r="AQ254" i="24"/>
  <c r="AS254" i="24"/>
  <c r="AQ260" i="24"/>
  <c r="AS260" i="24"/>
  <c r="AQ280" i="24"/>
  <c r="AS280" i="24"/>
  <c r="AQ275" i="24"/>
  <c r="AS275" i="24"/>
  <c r="AQ268" i="24"/>
  <c r="AS268" i="24"/>
  <c r="AQ247" i="24"/>
  <c r="AS247" i="24"/>
  <c r="AQ224" i="24"/>
  <c r="AS224" i="24"/>
  <c r="AQ217" i="24"/>
  <c r="AS217" i="24"/>
  <c r="AQ223" i="24"/>
  <c r="AS223" i="24"/>
  <c r="AQ46" i="24"/>
  <c r="AS46" i="24"/>
  <c r="AQ139" i="24"/>
  <c r="AS139" i="24"/>
  <c r="AQ148" i="24"/>
  <c r="AS148" i="24"/>
  <c r="AQ301" i="24"/>
  <c r="AS301" i="24"/>
  <c r="AQ79" i="24"/>
  <c r="AS79" i="24"/>
  <c r="AQ171" i="24"/>
  <c r="AS171" i="24"/>
  <c r="AQ145" i="24"/>
  <c r="AS145" i="24"/>
  <c r="AQ19" i="24"/>
  <c r="AS19" i="24"/>
  <c r="AQ31" i="24"/>
  <c r="AS31" i="24"/>
  <c r="AQ284" i="24"/>
  <c r="AS284" i="24"/>
  <c r="AQ302" i="24"/>
  <c r="AS302" i="24"/>
  <c r="AQ315" i="24"/>
  <c r="AS315" i="24"/>
  <c r="AQ262" i="24"/>
  <c r="AS262" i="24"/>
  <c r="AQ298" i="24"/>
  <c r="AS298" i="24"/>
  <c r="AQ303" i="24"/>
  <c r="AS303" i="24"/>
  <c r="AQ54" i="24"/>
  <c r="AS54" i="24"/>
  <c r="AQ92" i="24"/>
  <c r="AS92" i="24"/>
  <c r="AQ140" i="24"/>
  <c r="AS140" i="24"/>
  <c r="AQ125" i="24"/>
  <c r="AS125" i="24"/>
  <c r="AQ111" i="24"/>
  <c r="AS111" i="24"/>
  <c r="AQ72" i="24"/>
  <c r="AS72" i="24"/>
  <c r="AQ143" i="24"/>
  <c r="AS143" i="24"/>
  <c r="AQ175" i="24"/>
  <c r="AS175" i="24"/>
  <c r="AQ154" i="24"/>
  <c r="AS154" i="24"/>
  <c r="AQ291" i="24"/>
  <c r="AS291" i="24"/>
  <c r="AQ304" i="24"/>
  <c r="AS304" i="24"/>
  <c r="AQ287" i="24"/>
  <c r="AS287" i="24"/>
  <c r="AQ219" i="24"/>
  <c r="AS219" i="24"/>
  <c r="AQ229" i="24"/>
  <c r="AS229" i="24"/>
  <c r="AQ259" i="24"/>
  <c r="AS259" i="24"/>
  <c r="AQ286" i="24"/>
  <c r="AS286" i="24"/>
  <c r="AQ317" i="24"/>
  <c r="AS317" i="24"/>
  <c r="AQ82" i="24"/>
  <c r="AS82" i="24"/>
  <c r="AQ74" i="24"/>
  <c r="AS74" i="24"/>
  <c r="AQ68" i="24"/>
  <c r="AS68" i="24"/>
  <c r="AQ160" i="24"/>
  <c r="AS160" i="24"/>
  <c r="AQ121" i="24"/>
  <c r="AS121" i="24"/>
  <c r="AQ118" i="24"/>
  <c r="AS118" i="24"/>
  <c r="AQ113" i="24"/>
  <c r="AS113" i="24"/>
  <c r="AQ124" i="24"/>
  <c r="AS124" i="24"/>
  <c r="AQ144" i="24"/>
  <c r="AS144" i="24"/>
  <c r="AQ83" i="24"/>
  <c r="AS83" i="24"/>
  <c r="AQ56" i="24"/>
  <c r="AS56" i="24"/>
  <c r="AQ273" i="24"/>
  <c r="AS273" i="24"/>
  <c r="AQ278" i="24"/>
  <c r="AS278" i="24"/>
  <c r="AQ240" i="24"/>
  <c r="AS240" i="24"/>
  <c r="AQ310" i="24"/>
  <c r="AS310" i="24"/>
  <c r="AQ235" i="24"/>
  <c r="AS235" i="24"/>
  <c r="AQ242" i="24"/>
  <c r="AS242" i="24"/>
  <c r="AQ228" i="24"/>
  <c r="AS228" i="24"/>
  <c r="AQ299" i="24"/>
  <c r="AS299" i="24"/>
  <c r="AQ288" i="24"/>
  <c r="AS288" i="24"/>
  <c r="AQ234" i="24"/>
  <c r="AS234" i="24"/>
  <c r="AQ257" i="24"/>
  <c r="AS257" i="24"/>
  <c r="AQ237" i="24"/>
  <c r="AS237" i="24"/>
  <c r="AQ267" i="24"/>
  <c r="AS267" i="24"/>
  <c r="AQ314" i="24"/>
  <c r="AS314" i="24"/>
  <c r="AQ308" i="24"/>
  <c r="AS308" i="24"/>
  <c r="AQ251" i="24"/>
  <c r="AS251" i="24"/>
  <c r="AQ265" i="24"/>
  <c r="AS265" i="24"/>
  <c r="AQ225" i="24"/>
  <c r="AS225" i="24"/>
  <c r="AQ316" i="24"/>
  <c r="AS316" i="24"/>
  <c r="AQ63" i="24"/>
  <c r="AS63" i="24"/>
  <c r="AQ293" i="24"/>
  <c r="AS293" i="24"/>
  <c r="AQ158" i="24"/>
  <c r="AS158" i="24"/>
  <c r="AQ153" i="24"/>
  <c r="AS153" i="24"/>
  <c r="AQ129" i="24"/>
  <c r="AS129" i="24"/>
  <c r="AQ116" i="24"/>
  <c r="AS116" i="24"/>
  <c r="AQ177" i="24"/>
  <c r="AS177" i="24"/>
  <c r="AQ151" i="24"/>
  <c r="AS151" i="24"/>
  <c r="AQ180" i="24"/>
  <c r="AS180" i="24"/>
  <c r="AQ29" i="24"/>
  <c r="AS29" i="24"/>
  <c r="BK179" i="25" l="1"/>
  <c r="BV179" i="25"/>
  <c r="AR209" i="25"/>
  <c r="BV208" i="25"/>
  <c r="BK127" i="25"/>
  <c r="BI209" i="25"/>
  <c r="BK208" i="25"/>
  <c r="AP127" i="25"/>
  <c r="AR198" i="25"/>
  <c r="BJ127" i="25"/>
  <c r="BK209" i="25"/>
  <c r="BI208" i="25"/>
  <c r="AR127" i="25"/>
  <c r="AR208" i="25"/>
  <c r="BV127" i="25"/>
  <c r="BJ209" i="25"/>
  <c r="BI127" i="25"/>
  <c r="BV209" i="25"/>
  <c r="AP298" i="25"/>
  <c r="BK123" i="25"/>
  <c r="AR298" i="25"/>
  <c r="BI151" i="25"/>
  <c r="BV196" i="25"/>
  <c r="BJ179" i="25"/>
  <c r="BJ196" i="25"/>
  <c r="AR196" i="25"/>
  <c r="AU196" i="25" s="1"/>
  <c r="BI196" i="25"/>
  <c r="BK176" i="25"/>
  <c r="BK196" i="25"/>
  <c r="BK143" i="25"/>
  <c r="BJ208" i="25"/>
  <c r="CE166" i="25"/>
  <c r="AR143" i="25"/>
  <c r="BV143" i="25"/>
  <c r="BJ143" i="25"/>
  <c r="BI143" i="25"/>
  <c r="AP143" i="25"/>
  <c r="BK197" i="25"/>
  <c r="BJ166" i="25"/>
  <c r="BV176" i="25"/>
  <c r="BI166" i="25"/>
  <c r="BI176" i="25"/>
  <c r="BK166" i="25"/>
  <c r="BJ176" i="25"/>
  <c r="AR172" i="25"/>
  <c r="AT172" i="25" s="1"/>
  <c r="BA172" i="25" s="1"/>
  <c r="AR113" i="25"/>
  <c r="BU74" i="24"/>
  <c r="BJ74" i="24"/>
  <c r="BK172" i="25"/>
  <c r="BJ172" i="25"/>
  <c r="BL74" i="24"/>
  <c r="BI172" i="25"/>
  <c r="BK113" i="25"/>
  <c r="BI113" i="25"/>
  <c r="AP313" i="25"/>
  <c r="AP272" i="25"/>
  <c r="BV113" i="25"/>
  <c r="AR272" i="25"/>
  <c r="AU272" i="25" s="1"/>
  <c r="BW131" i="25"/>
  <c r="BV131" i="25"/>
  <c r="BI131" i="25"/>
  <c r="AP131" i="25"/>
  <c r="BK131" i="25"/>
  <c r="AR313" i="25"/>
  <c r="AU313" i="25" s="1"/>
  <c r="AR131" i="25"/>
  <c r="BK198" i="25"/>
  <c r="BK181" i="25"/>
  <c r="BV181" i="25"/>
  <c r="BJ181" i="25"/>
  <c r="BJ123" i="25"/>
  <c r="BV198" i="25"/>
  <c r="BJ198" i="25"/>
  <c r="BI198" i="25"/>
  <c r="BI181" i="25"/>
  <c r="AR197" i="25"/>
  <c r="BJ197" i="25"/>
  <c r="BI197" i="25"/>
  <c r="BV197" i="25"/>
  <c r="BJ113" i="25"/>
  <c r="BJ148" i="25"/>
  <c r="BV148" i="25"/>
  <c r="AP126" i="25"/>
  <c r="BI148" i="25"/>
  <c r="AR126" i="25"/>
  <c r="AT126" i="25" s="1"/>
  <c r="BA126" i="25" s="1"/>
  <c r="BV126" i="25"/>
  <c r="BK148" i="25"/>
  <c r="BI126" i="25"/>
  <c r="AP148" i="25"/>
  <c r="AR148" i="25"/>
  <c r="AU148" i="25" s="1"/>
  <c r="BV210" i="25"/>
  <c r="AP125" i="25"/>
  <c r="BI125" i="25"/>
  <c r="AR210" i="25"/>
  <c r="AT210" i="25" s="1"/>
  <c r="BA210" i="25" s="1"/>
  <c r="AR125" i="25"/>
  <c r="AT125" i="25" s="1"/>
  <c r="BA125" i="25" s="1"/>
  <c r="BV125" i="25"/>
  <c r="BJ125" i="25"/>
  <c r="BV172" i="25"/>
  <c r="BK126" i="25"/>
  <c r="BJ126" i="25"/>
  <c r="BK125" i="25"/>
  <c r="AP184" i="25"/>
  <c r="AP156" i="25"/>
  <c r="AR156" i="25"/>
  <c r="AU156" i="25" s="1"/>
  <c r="AS282" i="24"/>
  <c r="AW282" i="24" s="1"/>
  <c r="BV156" i="25"/>
  <c r="AR133" i="25"/>
  <c r="AT133" i="25" s="1"/>
  <c r="BA133" i="25" s="1"/>
  <c r="AP133" i="25"/>
  <c r="AR184" i="25"/>
  <c r="AT184" i="25" s="1"/>
  <c r="BA184" i="25" s="1"/>
  <c r="BV133" i="25"/>
  <c r="BI133" i="25"/>
  <c r="BI184" i="25"/>
  <c r="BJ184" i="25"/>
  <c r="BV184" i="25"/>
  <c r="BK184" i="25"/>
  <c r="BJ156" i="25"/>
  <c r="BI156" i="25"/>
  <c r="BK156" i="25"/>
  <c r="BV74" i="24"/>
  <c r="AX74" i="24"/>
  <c r="BK210" i="25"/>
  <c r="BJ210" i="25"/>
  <c r="BI210" i="25"/>
  <c r="BK133" i="25"/>
  <c r="BW133" i="25"/>
  <c r="BC5" i="24"/>
  <c r="BD5" i="24"/>
  <c r="BA19" i="25"/>
  <c r="BB19" i="25"/>
  <c r="BA60" i="25"/>
  <c r="BB60" i="25"/>
  <c r="BA85" i="25"/>
  <c r="BB85" i="25"/>
  <c r="BA66" i="25"/>
  <c r="BB66" i="25"/>
  <c r="BA7" i="25"/>
  <c r="BB7" i="25"/>
  <c r="BA75" i="25"/>
  <c r="BB75" i="25"/>
  <c r="BA57" i="25"/>
  <c r="BB57" i="25"/>
  <c r="BA25" i="25"/>
  <c r="BB25" i="25"/>
  <c r="BA55" i="25"/>
  <c r="BB55" i="25"/>
  <c r="BA77" i="25"/>
  <c r="BB77" i="25"/>
  <c r="BA45" i="25"/>
  <c r="BB45" i="25"/>
  <c r="BA39" i="25"/>
  <c r="BB39" i="25"/>
  <c r="BA46" i="25"/>
  <c r="BB46" i="25"/>
  <c r="BA33" i="25"/>
  <c r="BB33" i="25"/>
  <c r="BA89" i="25"/>
  <c r="BB89" i="25"/>
  <c r="BA43" i="25"/>
  <c r="BB43" i="25"/>
  <c r="BA34" i="25"/>
  <c r="BB34" i="25"/>
  <c r="BA84" i="25"/>
  <c r="BB84" i="25"/>
  <c r="BA98" i="25"/>
  <c r="BB98" i="25"/>
  <c r="BC104" i="24"/>
  <c r="BD104" i="24"/>
  <c r="BA58" i="25"/>
  <c r="BB58" i="25"/>
  <c r="BA72" i="25"/>
  <c r="BB72" i="25"/>
  <c r="BA18" i="25"/>
  <c r="BB18" i="25"/>
  <c r="BA90" i="25"/>
  <c r="BB90" i="25"/>
  <c r="BA80" i="25"/>
  <c r="BB80" i="25"/>
  <c r="BA99" i="25"/>
  <c r="BB99" i="25"/>
  <c r="BA74" i="25"/>
  <c r="BB74" i="25"/>
  <c r="BA32" i="25"/>
  <c r="BB32" i="25"/>
  <c r="BA65" i="25"/>
  <c r="BB65" i="25"/>
  <c r="BA73" i="25"/>
  <c r="BB73" i="25"/>
  <c r="BA16" i="25"/>
  <c r="BB16" i="25"/>
  <c r="BA95" i="25"/>
  <c r="BB95" i="25"/>
  <c r="BA23" i="25"/>
  <c r="BB23" i="25"/>
  <c r="BA50" i="25"/>
  <c r="BB50" i="25"/>
  <c r="BA10" i="25"/>
  <c r="BB10" i="25"/>
  <c r="AZ53" i="24"/>
  <c r="CD105" i="24"/>
  <c r="AQ105" i="24"/>
  <c r="BJ35" i="24"/>
  <c r="CD35" i="24"/>
  <c r="BK65" i="24"/>
  <c r="CD65" i="24"/>
  <c r="AN43" i="24"/>
  <c r="AX43" i="24" s="1"/>
  <c r="AJ212" i="24"/>
  <c r="AT212" i="24" s="1"/>
  <c r="E20" i="1" s="1"/>
  <c r="AQ306" i="24"/>
  <c r="CD306" i="24"/>
  <c r="AS270" i="24"/>
  <c r="AU270" i="24" s="1"/>
  <c r="CD270" i="24"/>
  <c r="CD208" i="24"/>
  <c r="AG212" i="24"/>
  <c r="AF212" i="24"/>
  <c r="AQ296" i="24"/>
  <c r="CD296" i="24"/>
  <c r="AQ312" i="24"/>
  <c r="CD312" i="24"/>
  <c r="BJ41" i="24"/>
  <c r="CD41" i="24"/>
  <c r="BU122" i="24"/>
  <c r="CD122" i="24"/>
  <c r="BK110" i="25"/>
  <c r="BJ110" i="25"/>
  <c r="BV110" i="25"/>
  <c r="BI110" i="25"/>
  <c r="AX172" i="24"/>
  <c r="AX123" i="24"/>
  <c r="BU115" i="24"/>
  <c r="AX181" i="24"/>
  <c r="BU155" i="24"/>
  <c r="AX195" i="24"/>
  <c r="BU157" i="24"/>
  <c r="AX208" i="24"/>
  <c r="BV210" i="24"/>
  <c r="BV195" i="24"/>
  <c r="AX157" i="24"/>
  <c r="AX115" i="24"/>
  <c r="BV122" i="24"/>
  <c r="BU123" i="24"/>
  <c r="BJ181" i="24"/>
  <c r="BU210" i="24"/>
  <c r="BJ208" i="24"/>
  <c r="AQ136" i="24"/>
  <c r="BK136" i="24"/>
  <c r="BL136" i="24"/>
  <c r="CD196" i="24"/>
  <c r="BL196" i="24"/>
  <c r="BK196" i="24"/>
  <c r="BJ196" i="24"/>
  <c r="BV196" i="24"/>
  <c r="BU196" i="24"/>
  <c r="AX196" i="24"/>
  <c r="CD204" i="24"/>
  <c r="BL204" i="24"/>
  <c r="BK204" i="24"/>
  <c r="BJ204" i="24"/>
  <c r="BU204" i="24"/>
  <c r="BV204" i="24"/>
  <c r="AX204" i="24"/>
  <c r="CD198" i="24"/>
  <c r="BK198" i="24"/>
  <c r="BL198" i="24"/>
  <c r="BV198" i="24"/>
  <c r="BU198" i="24"/>
  <c r="BJ198" i="24"/>
  <c r="AX198" i="24"/>
  <c r="CD170" i="24"/>
  <c r="BK170" i="24"/>
  <c r="BL170" i="24"/>
  <c r="BV170" i="24"/>
  <c r="BU170" i="24"/>
  <c r="BJ170" i="24"/>
  <c r="AX170" i="24"/>
  <c r="CD189" i="24"/>
  <c r="BK189" i="24"/>
  <c r="BL189" i="24"/>
  <c r="AX189" i="24"/>
  <c r="BV189" i="24"/>
  <c r="BU189" i="24"/>
  <c r="BJ189" i="24"/>
  <c r="CD132" i="24"/>
  <c r="BL132" i="24"/>
  <c r="BK132" i="24"/>
  <c r="BU132" i="24"/>
  <c r="BV132" i="24"/>
  <c r="BJ132" i="24"/>
  <c r="AX132" i="24"/>
  <c r="BU136" i="24"/>
  <c r="BJ136" i="24"/>
  <c r="CD163" i="24"/>
  <c r="BL163" i="24"/>
  <c r="BK163" i="24"/>
  <c r="BU163" i="24"/>
  <c r="BV163" i="24"/>
  <c r="AX163" i="24"/>
  <c r="BJ163" i="24"/>
  <c r="CD131" i="24"/>
  <c r="BK131" i="24"/>
  <c r="BL131" i="24"/>
  <c r="BU131" i="24"/>
  <c r="BV131" i="24"/>
  <c r="AX131" i="24"/>
  <c r="BJ131" i="24"/>
  <c r="CD186" i="24"/>
  <c r="BK186" i="24"/>
  <c r="BL186" i="24"/>
  <c r="BV186" i="24"/>
  <c r="BU186" i="24"/>
  <c r="BJ186" i="24"/>
  <c r="AX186" i="24"/>
  <c r="CD112" i="24"/>
  <c r="BK112" i="24"/>
  <c r="BL112" i="24"/>
  <c r="AQ184" i="24"/>
  <c r="BK184" i="24"/>
  <c r="BL184" i="24"/>
  <c r="BV184" i="24"/>
  <c r="BU184" i="24"/>
  <c r="BJ184" i="24"/>
  <c r="AX184" i="24"/>
  <c r="CD174" i="24"/>
  <c r="BK174" i="24"/>
  <c r="BL174" i="24"/>
  <c r="BU174" i="24"/>
  <c r="AX174" i="24"/>
  <c r="BV174" i="24"/>
  <c r="BJ174" i="24"/>
  <c r="CD156" i="24"/>
  <c r="BK156" i="24"/>
  <c r="BL156" i="24"/>
  <c r="BU156" i="24"/>
  <c r="BV156" i="24"/>
  <c r="BJ156" i="24"/>
  <c r="AX156" i="24"/>
  <c r="CD117" i="24"/>
  <c r="BK117" i="24"/>
  <c r="BL117" i="24"/>
  <c r="AX117" i="24"/>
  <c r="BU117" i="24"/>
  <c r="BJ117" i="24"/>
  <c r="BV117" i="24"/>
  <c r="CD176" i="24"/>
  <c r="BK176" i="24"/>
  <c r="BL176" i="24"/>
  <c r="BJ176" i="24"/>
  <c r="BU176" i="24"/>
  <c r="BV176" i="24"/>
  <c r="AX176" i="24"/>
  <c r="AQ114" i="24"/>
  <c r="BK114" i="24"/>
  <c r="BL114" i="24"/>
  <c r="BV114" i="24"/>
  <c r="AX114" i="24"/>
  <c r="BJ114" i="24"/>
  <c r="BU114" i="24"/>
  <c r="CD130" i="24"/>
  <c r="BK130" i="24"/>
  <c r="BL130" i="24"/>
  <c r="AX130" i="24"/>
  <c r="BV130" i="24"/>
  <c r="BJ130" i="24"/>
  <c r="BU130" i="24"/>
  <c r="AS167" i="24"/>
  <c r="AU167" i="24" s="1"/>
  <c r="BK167" i="24"/>
  <c r="BL167" i="24"/>
  <c r="BV167" i="24"/>
  <c r="BJ167" i="24"/>
  <c r="BU167" i="24"/>
  <c r="AX167" i="24"/>
  <c r="CD159" i="24"/>
  <c r="BL159" i="24"/>
  <c r="BK159" i="24"/>
  <c r="BU159" i="24"/>
  <c r="BV159" i="24"/>
  <c r="BJ159" i="24"/>
  <c r="AX159" i="24"/>
  <c r="BK146" i="24"/>
  <c r="BL146" i="24"/>
  <c r="BV146" i="24"/>
  <c r="AX146" i="24"/>
  <c r="BJ146" i="24"/>
  <c r="BU146" i="24"/>
  <c r="CD128" i="24"/>
  <c r="BK128" i="24"/>
  <c r="BL128" i="24"/>
  <c r="BV128" i="24"/>
  <c r="BU128" i="24"/>
  <c r="BJ128" i="24"/>
  <c r="AX128" i="24"/>
  <c r="CD152" i="24"/>
  <c r="BL152" i="24"/>
  <c r="BK152" i="24"/>
  <c r="BV152" i="24"/>
  <c r="BJ152" i="24"/>
  <c r="BU152" i="24"/>
  <c r="AX152" i="24"/>
  <c r="CD165" i="24"/>
  <c r="BL165" i="24"/>
  <c r="BK165" i="24"/>
  <c r="BU165" i="24"/>
  <c r="AX165" i="24"/>
  <c r="BV165" i="24"/>
  <c r="BJ165" i="24"/>
  <c r="BV136" i="24"/>
  <c r="AS165" i="24"/>
  <c r="AU165" i="24" s="1"/>
  <c r="BK110" i="24"/>
  <c r="BL110" i="24"/>
  <c r="BU110" i="24"/>
  <c r="AX110" i="24"/>
  <c r="BV110" i="24"/>
  <c r="BJ110" i="24"/>
  <c r="CD123" i="24"/>
  <c r="BK123" i="24"/>
  <c r="BL123" i="24"/>
  <c r="CD194" i="24"/>
  <c r="BK194" i="24"/>
  <c r="BL194" i="24"/>
  <c r="BU194" i="24"/>
  <c r="BV194" i="24"/>
  <c r="BJ194" i="24"/>
  <c r="AX194" i="24"/>
  <c r="BK169" i="24"/>
  <c r="BL169" i="24"/>
  <c r="CD207" i="24"/>
  <c r="BK207" i="24"/>
  <c r="BL207" i="24"/>
  <c r="CD172" i="24"/>
  <c r="BL172" i="24"/>
  <c r="BK172" i="24"/>
  <c r="CD192" i="24"/>
  <c r="BK192" i="24"/>
  <c r="BL192" i="24"/>
  <c r="BV192" i="24"/>
  <c r="AX192" i="24"/>
  <c r="BJ192" i="24"/>
  <c r="BU192" i="24"/>
  <c r="CD199" i="24"/>
  <c r="BK199" i="24"/>
  <c r="BL199" i="24"/>
  <c r="BU199" i="24"/>
  <c r="BJ199" i="24"/>
  <c r="BV199" i="24"/>
  <c r="AX199" i="24"/>
  <c r="CD157" i="24"/>
  <c r="BL157" i="24"/>
  <c r="BK157" i="24"/>
  <c r="CD141" i="24"/>
  <c r="BK141" i="24"/>
  <c r="BL141" i="24"/>
  <c r="AX141" i="24"/>
  <c r="BU141" i="24"/>
  <c r="BV141" i="24"/>
  <c r="BJ141" i="24"/>
  <c r="CD188" i="24"/>
  <c r="BL188" i="24"/>
  <c r="BK188" i="24"/>
  <c r="BJ188" i="24"/>
  <c r="BU188" i="24"/>
  <c r="BV188" i="24"/>
  <c r="AX188" i="24"/>
  <c r="CD209" i="24"/>
  <c r="BK209" i="24"/>
  <c r="BL209" i="24"/>
  <c r="BJ209" i="24"/>
  <c r="BU209" i="24"/>
  <c r="BV209" i="24"/>
  <c r="AX209" i="24"/>
  <c r="AS133" i="24"/>
  <c r="AU133" i="24" s="1"/>
  <c r="BK133" i="24"/>
  <c r="BL133" i="24"/>
  <c r="AX133" i="24"/>
  <c r="BU133" i="24"/>
  <c r="BJ133" i="24"/>
  <c r="BV133" i="24"/>
  <c r="CD206" i="24"/>
  <c r="BK206" i="24"/>
  <c r="BL206" i="24"/>
  <c r="BV206" i="24"/>
  <c r="BU206" i="24"/>
  <c r="AX206" i="24"/>
  <c r="BJ206" i="24"/>
  <c r="AS166" i="24"/>
  <c r="AU166" i="24" s="1"/>
  <c r="BK166" i="24"/>
  <c r="BL166" i="24"/>
  <c r="BU166" i="24"/>
  <c r="BJ166" i="24"/>
  <c r="BV166" i="24"/>
  <c r="AX166" i="24"/>
  <c r="AQ191" i="24"/>
  <c r="BK191" i="24"/>
  <c r="BL191" i="24"/>
  <c r="BU191" i="24"/>
  <c r="BV191" i="24"/>
  <c r="BJ191" i="24"/>
  <c r="AX191" i="24"/>
  <c r="AX207" i="24"/>
  <c r="BV112" i="24"/>
  <c r="BJ112" i="24"/>
  <c r="BV172" i="24"/>
  <c r="BJ169" i="24"/>
  <c r="BU169" i="24"/>
  <c r="CD134" i="24"/>
  <c r="BL134" i="24"/>
  <c r="BK134" i="24"/>
  <c r="BU134" i="24"/>
  <c r="BJ134" i="24"/>
  <c r="AX134" i="24"/>
  <c r="BV134" i="24"/>
  <c r="AQ161" i="24"/>
  <c r="BL161" i="24"/>
  <c r="BK161" i="24"/>
  <c r="AX161" i="24"/>
  <c r="BU161" i="24"/>
  <c r="BJ161" i="24"/>
  <c r="BV161" i="24"/>
  <c r="BK168" i="24"/>
  <c r="BL168" i="24"/>
  <c r="BJ168" i="24"/>
  <c r="BU168" i="24"/>
  <c r="BV168" i="24"/>
  <c r="AX168" i="24"/>
  <c r="CD147" i="24"/>
  <c r="BL147" i="24"/>
  <c r="BK147" i="24"/>
  <c r="BU147" i="24"/>
  <c r="BV147" i="24"/>
  <c r="AX147" i="24"/>
  <c r="BJ147" i="24"/>
  <c r="CD182" i="24"/>
  <c r="BK182" i="24"/>
  <c r="BL182" i="24"/>
  <c r="BU182" i="24"/>
  <c r="BV182" i="24"/>
  <c r="AX182" i="24"/>
  <c r="BJ182" i="24"/>
  <c r="BL155" i="24"/>
  <c r="BK155" i="24"/>
  <c r="CD149" i="24"/>
  <c r="BL149" i="24"/>
  <c r="BK149" i="24"/>
  <c r="BU149" i="24"/>
  <c r="AX149" i="24"/>
  <c r="BV149" i="24"/>
  <c r="BJ149" i="24"/>
  <c r="AS115" i="24"/>
  <c r="AU115" i="24" s="1"/>
  <c r="BK115" i="24"/>
  <c r="BL115" i="24"/>
  <c r="CD210" i="24"/>
  <c r="BK210" i="24"/>
  <c r="BL210" i="24"/>
  <c r="BK203" i="24"/>
  <c r="BL203" i="24"/>
  <c r="BV203" i="24"/>
  <c r="BJ203" i="24"/>
  <c r="BU203" i="24"/>
  <c r="AX203" i="24"/>
  <c r="CD205" i="24"/>
  <c r="BK205" i="24"/>
  <c r="BL205" i="24"/>
  <c r="AX205" i="24"/>
  <c r="BU205" i="24"/>
  <c r="BV205" i="24"/>
  <c r="BJ205" i="24"/>
  <c r="BK181" i="24"/>
  <c r="BL181" i="24"/>
  <c r="AQ208" i="24"/>
  <c r="BK208" i="24"/>
  <c r="BL208" i="24"/>
  <c r="CD119" i="24"/>
  <c r="BK119" i="24"/>
  <c r="BL119" i="24"/>
  <c r="BU119" i="24"/>
  <c r="AX119" i="24"/>
  <c r="BV119" i="24"/>
  <c r="BJ119" i="24"/>
  <c r="AQ162" i="24"/>
  <c r="BK162" i="24"/>
  <c r="BL162" i="24"/>
  <c r="BV162" i="24"/>
  <c r="BJ162" i="24"/>
  <c r="AX162" i="24"/>
  <c r="BU162" i="24"/>
  <c r="CD195" i="24"/>
  <c r="BK195" i="24"/>
  <c r="BL195" i="24"/>
  <c r="CD150" i="24"/>
  <c r="BK150" i="24"/>
  <c r="BL150" i="24"/>
  <c r="BU150" i="24"/>
  <c r="BJ150" i="24"/>
  <c r="BV150" i="24"/>
  <c r="AX150" i="24"/>
  <c r="AS122" i="24"/>
  <c r="AW122" i="24" s="1"/>
  <c r="BK122" i="24"/>
  <c r="BL122" i="24"/>
  <c r="CD193" i="24"/>
  <c r="BK193" i="24"/>
  <c r="BL193" i="24"/>
  <c r="AX193" i="24"/>
  <c r="BV193" i="24"/>
  <c r="BJ193" i="24"/>
  <c r="BU193" i="24"/>
  <c r="BJ207" i="24"/>
  <c r="BU207" i="24"/>
  <c r="BJ210" i="24"/>
  <c r="AX155" i="24"/>
  <c r="BV155" i="24"/>
  <c r="AX112" i="24"/>
  <c r="BU112" i="24"/>
  <c r="BU195" i="24"/>
  <c r="BJ157" i="24"/>
  <c r="BJ115" i="24"/>
  <c r="BU172" i="24"/>
  <c r="AX122" i="24"/>
  <c r="BJ122" i="24"/>
  <c r="BJ123" i="24"/>
  <c r="BU208" i="24"/>
  <c r="BV181" i="24"/>
  <c r="BV169" i="24"/>
  <c r="AX136" i="24"/>
  <c r="AQ152" i="24"/>
  <c r="BV55" i="24"/>
  <c r="AV7" i="24"/>
  <c r="AX50" i="24"/>
  <c r="BV50" i="24"/>
  <c r="AX87" i="24"/>
  <c r="BV87" i="24"/>
  <c r="AV48" i="24"/>
  <c r="AV81" i="24"/>
  <c r="BV81" i="24"/>
  <c r="BJ70" i="24"/>
  <c r="BV70" i="24"/>
  <c r="AS152" i="24"/>
  <c r="AW152" i="24" s="1"/>
  <c r="AV20" i="24"/>
  <c r="AX91" i="24"/>
  <c r="BV91" i="24"/>
  <c r="BJ27" i="24"/>
  <c r="BV27" i="24"/>
  <c r="AX105" i="24"/>
  <c r="BV105" i="24"/>
  <c r="BU101" i="24"/>
  <c r="BV101" i="24"/>
  <c r="AV38" i="24"/>
  <c r="AV62" i="24"/>
  <c r="AV39" i="24"/>
  <c r="AV77" i="24"/>
  <c r="AV76" i="24"/>
  <c r="BV97" i="24"/>
  <c r="BV64" i="24"/>
  <c r="BV33" i="24"/>
  <c r="AX86" i="24"/>
  <c r="BV86" i="24"/>
  <c r="BU14" i="24"/>
  <c r="BV14" i="24"/>
  <c r="AV57" i="24"/>
  <c r="AV90" i="24"/>
  <c r="AV44" i="24"/>
  <c r="AV84" i="24"/>
  <c r="AV93" i="24"/>
  <c r="AT103" i="24"/>
  <c r="BV34" i="24"/>
  <c r="AV22" i="24"/>
  <c r="BV22" i="24"/>
  <c r="AX69" i="24"/>
  <c r="BV69" i="24"/>
  <c r="AX23" i="24"/>
  <c r="BV23" i="24"/>
  <c r="AX95" i="24"/>
  <c r="BV95" i="24"/>
  <c r="AT52" i="24"/>
  <c r="AV45" i="24"/>
  <c r="AV80" i="24"/>
  <c r="AV71" i="24"/>
  <c r="BJ10" i="24"/>
  <c r="BV10" i="24"/>
  <c r="AT66" i="24"/>
  <c r="AT67" i="24"/>
  <c r="AX25" i="24"/>
  <c r="BV25" i="24"/>
  <c r="AV98" i="24"/>
  <c r="AV75" i="24"/>
  <c r="AX78" i="24"/>
  <c r="BV78" i="24"/>
  <c r="BV35" i="24"/>
  <c r="BV41" i="24"/>
  <c r="BV65" i="24"/>
  <c r="AU58" i="25"/>
  <c r="BF58" i="25" s="1"/>
  <c r="BU58" i="25" s="1"/>
  <c r="AQ193" i="24"/>
  <c r="AS279" i="24"/>
  <c r="AW279" i="24" s="1"/>
  <c r="BJ78" i="24"/>
  <c r="AQ279" i="24"/>
  <c r="AQ182" i="24"/>
  <c r="AV103" i="24"/>
  <c r="BK78" i="24"/>
  <c r="BU78" i="24"/>
  <c r="AS182" i="24"/>
  <c r="AU182" i="24" s="1"/>
  <c r="AS78" i="24"/>
  <c r="AW78" i="24" s="1"/>
  <c r="AY78" i="24" s="1"/>
  <c r="AS306" i="24"/>
  <c r="AU306" i="24" s="1"/>
  <c r="AQ70" i="24"/>
  <c r="BK70" i="24"/>
  <c r="BL70" i="24"/>
  <c r="BU70" i="24"/>
  <c r="AX70" i="24"/>
  <c r="AS70" i="24"/>
  <c r="AW70" i="24" s="1"/>
  <c r="AY70" i="24" s="1"/>
  <c r="AS193" i="24"/>
  <c r="AU193" i="24" s="1"/>
  <c r="AQ78" i="24"/>
  <c r="BL78" i="24"/>
  <c r="AQ238" i="24"/>
  <c r="AS203" i="24"/>
  <c r="AU203" i="24" s="1"/>
  <c r="CD203" i="24"/>
  <c r="AQ155" i="24"/>
  <c r="CD155" i="24"/>
  <c r="BJ51" i="24"/>
  <c r="CD51" i="24"/>
  <c r="AQ128" i="24"/>
  <c r="AX73" i="24"/>
  <c r="CD73" i="24"/>
  <c r="AQ168" i="24"/>
  <c r="CD168" i="24"/>
  <c r="AQ146" i="24"/>
  <c r="CD146" i="24"/>
  <c r="AS261" i="24"/>
  <c r="AU261" i="24" s="1"/>
  <c r="CD261" i="24"/>
  <c r="AS290" i="24"/>
  <c r="AU290" i="24" s="1"/>
  <c r="CD290" i="24"/>
  <c r="AX60" i="24"/>
  <c r="CD60" i="24"/>
  <c r="AS239" i="24"/>
  <c r="AU239" i="24" s="1"/>
  <c r="AS128" i="24"/>
  <c r="AW128" i="24" s="1"/>
  <c r="AS132" i="24"/>
  <c r="AW132" i="24" s="1"/>
  <c r="AQ132" i="24"/>
  <c r="AS191" i="24"/>
  <c r="AU191" i="24" s="1"/>
  <c r="BU25" i="24"/>
  <c r="AT75" i="24"/>
  <c r="AQ25" i="24"/>
  <c r="AS73" i="24"/>
  <c r="AU73" i="24" s="1"/>
  <c r="AQ266" i="24"/>
  <c r="AS312" i="24"/>
  <c r="AU312" i="24" s="1"/>
  <c r="AS218" i="24"/>
  <c r="AW218" i="24" s="1"/>
  <c r="AT76" i="24"/>
  <c r="AS256" i="24"/>
  <c r="AW256" i="24" s="1"/>
  <c r="AQ166" i="24"/>
  <c r="AQ263" i="24"/>
  <c r="BJ55" i="24"/>
  <c r="AS159" i="24"/>
  <c r="AU159" i="24" s="1"/>
  <c r="BU73" i="24"/>
  <c r="AQ117" i="24"/>
  <c r="AS313" i="24"/>
  <c r="AU313" i="24" s="1"/>
  <c r="AS176" i="24"/>
  <c r="AU176" i="24" s="1"/>
  <c r="AS114" i="24"/>
  <c r="AU114" i="24" s="1"/>
  <c r="AS146" i="24"/>
  <c r="AW146" i="24" s="1"/>
  <c r="BL55" i="24"/>
  <c r="AQ207" i="24"/>
  <c r="AQ133" i="24"/>
  <c r="AS189" i="24"/>
  <c r="AU189" i="24" s="1"/>
  <c r="AX81" i="24"/>
  <c r="AT81" i="24"/>
  <c r="AQ55" i="24"/>
  <c r="AQ292" i="24"/>
  <c r="AQ290" i="24"/>
  <c r="BK73" i="24"/>
  <c r="BL25" i="24"/>
  <c r="AQ189" i="24"/>
  <c r="BJ33" i="24"/>
  <c r="AQ256" i="24"/>
  <c r="BK33" i="24"/>
  <c r="AX55" i="24"/>
  <c r="AX22" i="24"/>
  <c r="AS33" i="24"/>
  <c r="AU33" i="24" s="1"/>
  <c r="AS292" i="24"/>
  <c r="AU292" i="24" s="1"/>
  <c r="BL33" i="24"/>
  <c r="AS55" i="24"/>
  <c r="AW55" i="24" s="1"/>
  <c r="AY55" i="24" s="1"/>
  <c r="AQ33" i="24"/>
  <c r="BK55" i="24"/>
  <c r="BU33" i="24"/>
  <c r="AS181" i="24"/>
  <c r="AU181" i="24" s="1"/>
  <c r="CD181" i="24"/>
  <c r="AQ130" i="24"/>
  <c r="AQ122" i="24"/>
  <c r="AS296" i="24"/>
  <c r="AU296" i="24" s="1"/>
  <c r="AQ73" i="24"/>
  <c r="AS243" i="24"/>
  <c r="AU243" i="24" s="1"/>
  <c r="BJ73" i="24"/>
  <c r="AQ307" i="24"/>
  <c r="CD307" i="24"/>
  <c r="AQ218" i="24"/>
  <c r="AQ167" i="24"/>
  <c r="AS147" i="24"/>
  <c r="AW147" i="24" s="1"/>
  <c r="BL73" i="24"/>
  <c r="AV67" i="24"/>
  <c r="AT93" i="24"/>
  <c r="AQ147" i="24"/>
  <c r="AV66" i="24"/>
  <c r="AS168" i="24"/>
  <c r="AU168" i="24" s="1"/>
  <c r="AS170" i="24"/>
  <c r="AW170" i="24" s="1"/>
  <c r="AQ264" i="24"/>
  <c r="AQ270" i="24"/>
  <c r="AQ159" i="24"/>
  <c r="AQ176" i="24"/>
  <c r="AT98" i="24"/>
  <c r="BJ25" i="24"/>
  <c r="AS25" i="24"/>
  <c r="AW25" i="24" s="1"/>
  <c r="AY25" i="24" s="1"/>
  <c r="AQ170" i="24"/>
  <c r="AS130" i="24"/>
  <c r="AU130" i="24" s="1"/>
  <c r="BK25" i="24"/>
  <c r="AT84" i="24"/>
  <c r="AT90" i="24"/>
  <c r="AT44" i="24"/>
  <c r="AS266" i="24"/>
  <c r="AU266" i="24" s="1"/>
  <c r="AS227" i="24"/>
  <c r="AW227" i="24" s="1"/>
  <c r="AQ297" i="24"/>
  <c r="AQ232" i="24"/>
  <c r="AS188" i="24"/>
  <c r="AU188" i="24" s="1"/>
  <c r="AT38" i="24"/>
  <c r="AT39" i="24"/>
  <c r="AQ206" i="24"/>
  <c r="AQ181" i="24"/>
  <c r="AS206" i="24"/>
  <c r="AU206" i="24" s="1"/>
  <c r="AQ209" i="24"/>
  <c r="AT62" i="24"/>
  <c r="AT77" i="24"/>
  <c r="BL23" i="24"/>
  <c r="AS150" i="24"/>
  <c r="AW150" i="24" s="1"/>
  <c r="AQ150" i="24"/>
  <c r="AS309" i="24"/>
  <c r="AW309" i="24" s="1"/>
  <c r="AQ10" i="24"/>
  <c r="AQ198" i="24"/>
  <c r="AS233" i="24"/>
  <c r="AU233" i="24" s="1"/>
  <c r="BL10" i="24"/>
  <c r="AS204" i="24"/>
  <c r="AW204" i="24" s="1"/>
  <c r="AS198" i="24"/>
  <c r="AW198" i="24" s="1"/>
  <c r="AS156" i="24"/>
  <c r="AU156" i="24" s="1"/>
  <c r="AS117" i="24"/>
  <c r="AW117" i="24" s="1"/>
  <c r="AS226" i="24"/>
  <c r="AU226" i="24" s="1"/>
  <c r="AS195" i="24"/>
  <c r="AU195" i="24" s="1"/>
  <c r="AS285" i="24"/>
  <c r="AU285" i="24" s="1"/>
  <c r="AS162" i="24"/>
  <c r="AW162" i="24" s="1"/>
  <c r="AQ186" i="24"/>
  <c r="AQ156" i="24"/>
  <c r="AQ195" i="24"/>
  <c r="AQ196" i="24"/>
  <c r="AQ204" i="24"/>
  <c r="AS174" i="24"/>
  <c r="AW174" i="24" s="1"/>
  <c r="AS307" i="24"/>
  <c r="AU307" i="24" s="1"/>
  <c r="AT48" i="24"/>
  <c r="AQ169" i="24"/>
  <c r="CD169" i="24"/>
  <c r="AT71" i="24"/>
  <c r="AS10" i="24"/>
  <c r="AW10" i="24" s="1"/>
  <c r="AY10" i="24" s="1"/>
  <c r="AQ97" i="24"/>
  <c r="BK10" i="24"/>
  <c r="BJ23" i="24"/>
  <c r="AQ188" i="24"/>
  <c r="BU10" i="24"/>
  <c r="AX10" i="24"/>
  <c r="AQ141" i="24"/>
  <c r="AQ192" i="24"/>
  <c r="AS209" i="24"/>
  <c r="AU209" i="24" s="1"/>
  <c r="AU40" i="24"/>
  <c r="AT80" i="24"/>
  <c r="AK71" i="24"/>
  <c r="AQ205" i="24"/>
  <c r="AQ149" i="24"/>
  <c r="AQ210" i="24"/>
  <c r="BL51" i="24"/>
  <c r="AQ174" i="24"/>
  <c r="AV52" i="24"/>
  <c r="AQ101" i="24"/>
  <c r="AS119" i="24"/>
  <c r="AU119" i="24" s="1"/>
  <c r="AT57" i="24"/>
  <c r="AQ112" i="24"/>
  <c r="AQ172" i="24"/>
  <c r="AQ95" i="24"/>
  <c r="AQ199" i="24"/>
  <c r="AT45" i="24"/>
  <c r="BL95" i="24"/>
  <c r="BU51" i="24"/>
  <c r="AQ51" i="24"/>
  <c r="BK14" i="24"/>
  <c r="AS184" i="24"/>
  <c r="AW184" i="24" s="1"/>
  <c r="AQ203" i="24"/>
  <c r="AS136" i="24"/>
  <c r="AU136" i="24" s="1"/>
  <c r="AS51" i="24"/>
  <c r="AU51" i="24" s="1"/>
  <c r="BK51" i="24"/>
  <c r="AS205" i="24"/>
  <c r="AW205" i="24" s="1"/>
  <c r="AQ119" i="24"/>
  <c r="BL50" i="24"/>
  <c r="AS208" i="24"/>
  <c r="AU208" i="24" s="1"/>
  <c r="AX51" i="24"/>
  <c r="BU95" i="24"/>
  <c r="BJ95" i="24"/>
  <c r="AS112" i="24"/>
  <c r="AU112" i="24" s="1"/>
  <c r="AS141" i="24"/>
  <c r="AU141" i="24" s="1"/>
  <c r="AS95" i="24"/>
  <c r="AW95" i="24" s="1"/>
  <c r="AY95" i="24" s="1"/>
  <c r="BK95" i="24"/>
  <c r="BK60" i="24"/>
  <c r="BJ60" i="24"/>
  <c r="AS60" i="24"/>
  <c r="AW60" i="24" s="1"/>
  <c r="AY60" i="24" s="1"/>
  <c r="AQ60" i="24"/>
  <c r="AQ23" i="24"/>
  <c r="AS196" i="24"/>
  <c r="AW196" i="24" s="1"/>
  <c r="BU60" i="24"/>
  <c r="AS23" i="24"/>
  <c r="AU23" i="24" s="1"/>
  <c r="BL60" i="24"/>
  <c r="BK23" i="24"/>
  <c r="BU23" i="24"/>
  <c r="BJ101" i="24"/>
  <c r="AX101" i="24"/>
  <c r="BL101" i="24"/>
  <c r="AS157" i="24"/>
  <c r="AW157" i="24" s="1"/>
  <c r="AS101" i="24"/>
  <c r="AW101" i="24" s="1"/>
  <c r="AY101" i="24" s="1"/>
  <c r="AQ157" i="24"/>
  <c r="AS131" i="24"/>
  <c r="AW131" i="24" s="1"/>
  <c r="BK101" i="24"/>
  <c r="AS186" i="24"/>
  <c r="AW186" i="24" s="1"/>
  <c r="AS199" i="24"/>
  <c r="AU199" i="24" s="1"/>
  <c r="AS192" i="24"/>
  <c r="AU192" i="24" s="1"/>
  <c r="BU105" i="24"/>
  <c r="AS110" i="24"/>
  <c r="AU110" i="24" s="1"/>
  <c r="CD110" i="24"/>
  <c r="AS105" i="24"/>
  <c r="AW105" i="24" s="1"/>
  <c r="AY105" i="24" s="1"/>
  <c r="BL27" i="24"/>
  <c r="AX41" i="24"/>
  <c r="AS163" i="24"/>
  <c r="AW163" i="24" s="1"/>
  <c r="AS41" i="24"/>
  <c r="AW41" i="24" s="1"/>
  <c r="AY41" i="24" s="1"/>
  <c r="AX97" i="24"/>
  <c r="BK97" i="24"/>
  <c r="AW104" i="24"/>
  <c r="AY104" i="24" s="1"/>
  <c r="AZ104" i="24" s="1"/>
  <c r="AQ163" i="24"/>
  <c r="AS123" i="24"/>
  <c r="AU123" i="24" s="1"/>
  <c r="BK41" i="24"/>
  <c r="BL105" i="24"/>
  <c r="BU97" i="24"/>
  <c r="AQ27" i="24"/>
  <c r="BL41" i="24"/>
  <c r="BK105" i="24"/>
  <c r="BU41" i="24"/>
  <c r="BJ105" i="24"/>
  <c r="BJ97" i="24"/>
  <c r="AQ41" i="24"/>
  <c r="AS97" i="24"/>
  <c r="AU97" i="24" s="1"/>
  <c r="BL97" i="24"/>
  <c r="AS149" i="24"/>
  <c r="AU149" i="24" s="1"/>
  <c r="AQ115" i="24"/>
  <c r="BL87" i="24"/>
  <c r="AS210" i="24"/>
  <c r="AU210" i="24" s="1"/>
  <c r="BJ14" i="24"/>
  <c r="AX14" i="24"/>
  <c r="BL14" i="24"/>
  <c r="BU87" i="24"/>
  <c r="BJ50" i="24"/>
  <c r="AQ50" i="24"/>
  <c r="AS161" i="24"/>
  <c r="AU161" i="24" s="1"/>
  <c r="AS14" i="24"/>
  <c r="AW14" i="24" s="1"/>
  <c r="AY14" i="24" s="1"/>
  <c r="AQ87" i="24"/>
  <c r="AQ14" i="24"/>
  <c r="AS172" i="24"/>
  <c r="AU172" i="24" s="1"/>
  <c r="AS155" i="24"/>
  <c r="AU155" i="24" s="1"/>
  <c r="AQ131" i="24"/>
  <c r="BJ86" i="24"/>
  <c r="AK34" i="24"/>
  <c r="AQ65" i="24"/>
  <c r="BU65" i="24"/>
  <c r="AS207" i="24"/>
  <c r="AW207" i="24" s="1"/>
  <c r="BK64" i="24"/>
  <c r="BL65" i="24"/>
  <c r="BJ65" i="24"/>
  <c r="AQ86" i="24"/>
  <c r="AS64" i="24"/>
  <c r="AU64" i="24" s="1"/>
  <c r="BL86" i="24"/>
  <c r="AK65" i="24"/>
  <c r="AS134" i="24"/>
  <c r="AU134" i="24" s="1"/>
  <c r="BK27" i="24"/>
  <c r="AS194" i="24"/>
  <c r="AU194" i="24" s="1"/>
  <c r="AX27" i="24"/>
  <c r="AN88" i="24"/>
  <c r="CD88" i="24" s="1"/>
  <c r="AS27" i="24"/>
  <c r="AU27" i="24" s="1"/>
  <c r="AS91" i="24"/>
  <c r="AW91" i="24" s="1"/>
  <c r="AY91" i="24" s="1"/>
  <c r="AS169" i="24"/>
  <c r="AU169" i="24" s="1"/>
  <c r="BK91" i="24"/>
  <c r="BJ91" i="24"/>
  <c r="BU27" i="24"/>
  <c r="AS50" i="24"/>
  <c r="AW50" i="24" s="1"/>
  <c r="AY50" i="24" s="1"/>
  <c r="AS86" i="24"/>
  <c r="AU86" i="24" s="1"/>
  <c r="AQ64" i="24"/>
  <c r="BK87" i="24"/>
  <c r="BK86" i="24"/>
  <c r="AS65" i="24"/>
  <c r="AU65" i="24" s="1"/>
  <c r="BJ87" i="24"/>
  <c r="BU86" i="24"/>
  <c r="AX65" i="24"/>
  <c r="AX64" i="24"/>
  <c r="AN71" i="24"/>
  <c r="AS87" i="24"/>
  <c r="AW87" i="24" s="1"/>
  <c r="AY87" i="24" s="1"/>
  <c r="BL64" i="24"/>
  <c r="BK50" i="24"/>
  <c r="BU64" i="24"/>
  <c r="BU50" i="24"/>
  <c r="AQ91" i="24"/>
  <c r="AQ134" i="24"/>
  <c r="AQ123" i="24"/>
  <c r="BL91" i="24"/>
  <c r="BU91" i="24"/>
  <c r="AQ194" i="24"/>
  <c r="AN13" i="24"/>
  <c r="BK13" i="24" s="1"/>
  <c r="AS81" i="24"/>
  <c r="AS22" i="24"/>
  <c r="BL69" i="24"/>
  <c r="AT20" i="24"/>
  <c r="AN49" i="24"/>
  <c r="BV49" i="24" s="1"/>
  <c r="AR110" i="25"/>
  <c r="AT110" i="25" s="1"/>
  <c r="BA110" i="25" s="1"/>
  <c r="CE110" i="25"/>
  <c r="AQ81" i="24"/>
  <c r="AS69" i="24"/>
  <c r="AW69" i="24" s="1"/>
  <c r="AY69" i="24" s="1"/>
  <c r="BJ22" i="24"/>
  <c r="AT7" i="24"/>
  <c r="AN15" i="24"/>
  <c r="BK22" i="24"/>
  <c r="AS34" i="24"/>
  <c r="AW34" i="24" s="1"/>
  <c r="AY34" i="24" s="1"/>
  <c r="AZ34" i="24" s="1"/>
  <c r="AK81" i="24"/>
  <c r="BK81" i="24"/>
  <c r="AQ22" i="24"/>
  <c r="BK69" i="24"/>
  <c r="BU69" i="24"/>
  <c r="AT22" i="24"/>
  <c r="BL81" i="24"/>
  <c r="BL22" i="24"/>
  <c r="AQ69" i="24"/>
  <c r="BU22" i="24"/>
  <c r="BU81" i="24"/>
  <c r="BJ69" i="24"/>
  <c r="BJ81" i="24"/>
  <c r="AK22" i="24"/>
  <c r="AN48" i="24"/>
  <c r="AK48" i="24"/>
  <c r="AK102" i="24"/>
  <c r="AN102" i="24"/>
  <c r="CD102" i="24" s="1"/>
  <c r="AK93" i="24"/>
  <c r="AN93" i="24"/>
  <c r="CD93" i="24" s="1"/>
  <c r="AQ34" i="24"/>
  <c r="BK34" i="24"/>
  <c r="BL34" i="24"/>
  <c r="BU34" i="24"/>
  <c r="BJ34" i="24"/>
  <c r="AV12" i="24"/>
  <c r="AT12" i="24"/>
  <c r="BF5" i="24"/>
  <c r="BI5" i="24" s="1"/>
  <c r="BN5" i="24" s="1"/>
  <c r="AN8" i="24"/>
  <c r="BV8" i="24" s="1"/>
  <c r="AK8" i="24"/>
  <c r="AK94" i="24"/>
  <c r="AN94" i="24"/>
  <c r="CD94" i="24" s="1"/>
  <c r="AK37" i="24"/>
  <c r="AN37" i="24"/>
  <c r="BV37" i="24" s="1"/>
  <c r="AV94" i="24"/>
  <c r="AT94" i="24"/>
  <c r="AV9" i="24"/>
  <c r="AT9" i="24"/>
  <c r="BL35" i="24"/>
  <c r="AK35" i="24"/>
  <c r="AK98" i="24"/>
  <c r="AN98" i="24"/>
  <c r="BV98" i="24" s="1"/>
  <c r="AK90" i="24"/>
  <c r="AN90" i="24"/>
  <c r="CD90" i="24" s="1"/>
  <c r="AK103" i="24"/>
  <c r="AN103" i="24"/>
  <c r="AV24" i="24"/>
  <c r="AT24" i="24"/>
  <c r="AV16" i="24"/>
  <c r="AT16" i="24"/>
  <c r="AK52" i="24"/>
  <c r="AN52" i="24"/>
  <c r="AN84" i="24"/>
  <c r="BV84" i="24" s="1"/>
  <c r="AK84" i="24"/>
  <c r="AN61" i="24"/>
  <c r="AK61" i="24"/>
  <c r="AK99" i="24"/>
  <c r="AN99" i="24"/>
  <c r="AK39" i="24"/>
  <c r="AN39" i="24"/>
  <c r="AN11" i="24"/>
  <c r="BV11" i="24" s="1"/>
  <c r="AK11" i="24"/>
  <c r="AK77" i="24"/>
  <c r="AN77" i="24"/>
  <c r="CD77" i="24" s="1"/>
  <c r="AN58" i="24"/>
  <c r="AK58" i="24"/>
  <c r="AS35" i="24"/>
  <c r="AU35" i="24" s="1"/>
  <c r="BU35" i="24"/>
  <c r="AX35" i="24"/>
  <c r="AN44" i="24"/>
  <c r="BV44" i="24" s="1"/>
  <c r="AK44" i="24"/>
  <c r="AK66" i="24"/>
  <c r="AN66" i="24"/>
  <c r="AN26" i="24"/>
  <c r="BV26" i="24" s="1"/>
  <c r="AK26" i="24"/>
  <c r="AK20" i="24"/>
  <c r="AN20" i="24"/>
  <c r="AN80" i="24"/>
  <c r="AK80" i="24"/>
  <c r="AK17" i="24"/>
  <c r="AN17" i="24"/>
  <c r="BV17" i="24" s="1"/>
  <c r="AK24" i="24"/>
  <c r="AN24" i="24"/>
  <c r="BV24" i="24" s="1"/>
  <c r="AN47" i="24"/>
  <c r="AK47" i="24"/>
  <c r="AN67" i="24"/>
  <c r="CD67" i="24" s="1"/>
  <c r="AK67" i="24"/>
  <c r="AN57" i="24"/>
  <c r="BV57" i="24" s="1"/>
  <c r="AK57" i="24"/>
  <c r="AK62" i="24"/>
  <c r="AN62" i="24"/>
  <c r="AV30" i="24"/>
  <c r="AT30" i="24"/>
  <c r="AN9" i="24"/>
  <c r="BU9" i="24" s="1"/>
  <c r="AK9" i="24"/>
  <c r="AN75" i="24"/>
  <c r="AK75" i="24"/>
  <c r="AQ35" i="24"/>
  <c r="BK35" i="24"/>
  <c r="AN38" i="24"/>
  <c r="AK38" i="24"/>
  <c r="AV17" i="24"/>
  <c r="AT17" i="24"/>
  <c r="AK45" i="24"/>
  <c r="AN45" i="24"/>
  <c r="AV26" i="24"/>
  <c r="AT26" i="24"/>
  <c r="AK30" i="24"/>
  <c r="AN30" i="24"/>
  <c r="BV30" i="24" s="1"/>
  <c r="AK76" i="24"/>
  <c r="AN76" i="24"/>
  <c r="BV76" i="24" s="1"/>
  <c r="AN12" i="24"/>
  <c r="BV12" i="24" s="1"/>
  <c r="AK12" i="24"/>
  <c r="AN16" i="24"/>
  <c r="BV16" i="24" s="1"/>
  <c r="AK16" i="24"/>
  <c r="AK6" i="24"/>
  <c r="AN6" i="24"/>
  <c r="AN7" i="24"/>
  <c r="BV7" i="24" s="1"/>
  <c r="AK7" i="24"/>
  <c r="BG5" i="24"/>
  <c r="BT5" i="24" s="1"/>
  <c r="AQ110" i="24"/>
  <c r="AU185" i="24"/>
  <c r="AW185" i="24"/>
  <c r="AU201" i="24"/>
  <c r="AW201" i="24"/>
  <c r="AU151" i="24"/>
  <c r="AW151" i="24"/>
  <c r="AU129" i="24"/>
  <c r="AW129" i="24"/>
  <c r="AU158" i="24"/>
  <c r="AW158" i="24"/>
  <c r="AU316" i="24"/>
  <c r="AW316" i="24"/>
  <c r="AU308" i="24"/>
  <c r="AW308" i="24"/>
  <c r="AW234" i="24"/>
  <c r="AU234" i="24"/>
  <c r="AW228" i="24"/>
  <c r="AU228" i="24"/>
  <c r="AW242" i="24"/>
  <c r="AU242" i="24"/>
  <c r="AW240" i="24"/>
  <c r="AU240" i="24"/>
  <c r="AU124" i="24"/>
  <c r="AW124" i="24"/>
  <c r="AU113" i="24"/>
  <c r="AW113" i="24"/>
  <c r="AU118" i="24"/>
  <c r="AW118" i="24"/>
  <c r="AU286" i="24"/>
  <c r="AW286" i="24"/>
  <c r="AU287" i="24"/>
  <c r="AW287" i="24"/>
  <c r="AU125" i="24"/>
  <c r="AW125" i="24"/>
  <c r="AU262" i="24"/>
  <c r="AW262" i="24"/>
  <c r="AU301" i="24"/>
  <c r="AW301" i="24"/>
  <c r="AU217" i="24"/>
  <c r="AW217" i="24"/>
  <c r="AU275" i="24"/>
  <c r="AW275" i="24"/>
  <c r="AU260" i="24"/>
  <c r="AW260" i="24"/>
  <c r="AU295" i="24"/>
  <c r="AW295" i="24"/>
  <c r="AU300" i="24"/>
  <c r="AW300" i="24"/>
  <c r="AU173" i="24"/>
  <c r="AW173" i="24"/>
  <c r="AU222" i="24"/>
  <c r="AW222" i="24"/>
  <c r="AU272" i="24"/>
  <c r="AW272" i="24"/>
  <c r="AU281" i="24"/>
  <c r="AW281" i="24"/>
  <c r="AU137" i="24"/>
  <c r="AW137" i="24"/>
  <c r="AW248" i="24"/>
  <c r="AU248" i="24"/>
  <c r="AU289" i="24"/>
  <c r="AW289" i="24"/>
  <c r="AU263" i="24"/>
  <c r="AW263" i="24"/>
  <c r="AU190" i="24"/>
  <c r="AW190" i="24"/>
  <c r="AU183" i="24"/>
  <c r="AW183" i="24"/>
  <c r="AU197" i="24"/>
  <c r="AW197" i="24"/>
  <c r="AU202" i="24"/>
  <c r="AW202" i="24"/>
  <c r="AU187" i="24"/>
  <c r="AW187" i="24"/>
  <c r="AU200" i="24"/>
  <c r="AW200" i="24"/>
  <c r="AU180" i="24"/>
  <c r="AW180" i="24"/>
  <c r="AU265" i="24"/>
  <c r="AW265" i="24"/>
  <c r="AU237" i="24"/>
  <c r="AW237" i="24"/>
  <c r="AU288" i="24"/>
  <c r="AW288" i="24"/>
  <c r="AU310" i="24"/>
  <c r="AW310" i="24"/>
  <c r="AU273" i="24"/>
  <c r="AW273" i="24"/>
  <c r="AU121" i="24"/>
  <c r="AW121" i="24"/>
  <c r="AU229" i="24"/>
  <c r="AW229" i="24"/>
  <c r="AU291" i="24"/>
  <c r="AW291" i="24"/>
  <c r="AU175" i="24"/>
  <c r="AW175" i="24"/>
  <c r="AU303" i="24"/>
  <c r="AW303" i="24"/>
  <c r="AU302" i="24"/>
  <c r="AW302" i="24"/>
  <c r="AU171" i="24"/>
  <c r="AW171" i="24"/>
  <c r="AU139" i="24"/>
  <c r="AW139" i="24"/>
  <c r="AU247" i="24"/>
  <c r="AW247" i="24"/>
  <c r="AU245" i="24"/>
  <c r="AW245" i="24"/>
  <c r="AU253" i="24"/>
  <c r="AW253" i="24"/>
  <c r="AU294" i="24"/>
  <c r="AW294" i="24"/>
  <c r="AU178" i="24"/>
  <c r="AW178" i="24"/>
  <c r="AU271" i="24"/>
  <c r="AW271" i="24"/>
  <c r="AU221" i="24"/>
  <c r="AW221" i="24"/>
  <c r="AU277" i="24"/>
  <c r="AW277" i="24"/>
  <c r="AU142" i="24"/>
  <c r="AW142" i="24"/>
  <c r="AU249" i="24"/>
  <c r="AW249" i="24"/>
  <c r="AU311" i="24"/>
  <c r="AW311" i="24"/>
  <c r="AU258" i="24"/>
  <c r="AW258" i="24"/>
  <c r="AU177" i="24"/>
  <c r="AW177" i="24"/>
  <c r="AU116" i="24"/>
  <c r="AW116" i="24"/>
  <c r="AU153" i="24"/>
  <c r="AW153" i="24"/>
  <c r="AU293" i="24"/>
  <c r="AW293" i="24"/>
  <c r="AU225" i="24"/>
  <c r="AW225" i="24"/>
  <c r="AU251" i="24"/>
  <c r="AW251" i="24"/>
  <c r="AU314" i="24"/>
  <c r="AW314" i="24"/>
  <c r="AU267" i="24"/>
  <c r="AW267" i="24"/>
  <c r="AU257" i="24"/>
  <c r="AW257" i="24"/>
  <c r="AW264" i="24"/>
  <c r="AU264" i="24"/>
  <c r="AU299" i="24"/>
  <c r="AW299" i="24"/>
  <c r="AU238" i="24"/>
  <c r="AW238" i="24"/>
  <c r="AU235" i="24"/>
  <c r="AW235" i="24"/>
  <c r="AU278" i="24"/>
  <c r="AW278" i="24"/>
  <c r="AU144" i="24"/>
  <c r="AW144" i="24"/>
  <c r="AU160" i="24"/>
  <c r="AW160" i="24"/>
  <c r="AU317" i="24"/>
  <c r="AW317" i="24"/>
  <c r="AU259" i="24"/>
  <c r="AW259" i="24"/>
  <c r="AU219" i="24"/>
  <c r="AW219" i="24"/>
  <c r="AU297" i="24"/>
  <c r="AW297" i="24"/>
  <c r="AW304" i="24"/>
  <c r="AU304" i="24"/>
  <c r="AW232" i="24"/>
  <c r="AU232" i="24"/>
  <c r="AU154" i="24"/>
  <c r="AW154" i="24"/>
  <c r="AU143" i="24"/>
  <c r="AW143" i="24"/>
  <c r="AU111" i="24"/>
  <c r="AW111" i="24"/>
  <c r="AU140" i="24"/>
  <c r="AW140" i="24"/>
  <c r="AW298" i="24"/>
  <c r="AU298" i="24"/>
  <c r="AU315" i="24"/>
  <c r="AW315" i="24"/>
  <c r="AU284" i="24"/>
  <c r="AW284" i="24"/>
  <c r="AU145" i="24"/>
  <c r="AW145" i="24"/>
  <c r="AU148" i="24"/>
  <c r="AW148" i="24"/>
  <c r="AU223" i="24"/>
  <c r="AW223" i="24"/>
  <c r="AU224" i="24"/>
  <c r="AW224" i="24"/>
  <c r="AU268" i="24"/>
  <c r="AW268" i="24"/>
  <c r="AW280" i="24"/>
  <c r="AU280" i="24"/>
  <c r="AU254" i="24"/>
  <c r="AW254" i="24"/>
  <c r="AU274" i="24"/>
  <c r="AW274" i="24"/>
  <c r="AU230" i="24"/>
  <c r="AW230" i="24"/>
  <c r="AU252" i="24"/>
  <c r="AW252" i="24"/>
  <c r="AU255" i="24"/>
  <c r="AW255" i="24"/>
  <c r="AU269" i="24"/>
  <c r="AW269" i="24"/>
  <c r="AU127" i="24"/>
  <c r="AW127" i="24"/>
  <c r="AU138" i="24"/>
  <c r="AW138" i="24"/>
  <c r="AU120" i="24"/>
  <c r="AW120" i="24"/>
  <c r="AU236" i="24"/>
  <c r="AW236" i="24"/>
  <c r="AU276" i="24"/>
  <c r="AW276" i="24"/>
  <c r="AU244" i="24"/>
  <c r="AW244" i="24"/>
  <c r="AU283" i="24"/>
  <c r="AW283" i="24"/>
  <c r="AU220" i="24"/>
  <c r="AW220" i="24"/>
  <c r="AU241" i="24"/>
  <c r="AW241" i="24"/>
  <c r="AU231" i="24"/>
  <c r="AW231" i="24"/>
  <c r="AU179" i="24"/>
  <c r="AW179" i="24"/>
  <c r="AW135" i="24"/>
  <c r="AU135" i="24"/>
  <c r="AU164" i="24"/>
  <c r="AW164" i="24"/>
  <c r="AU126" i="24"/>
  <c r="AW126" i="24"/>
  <c r="AU246" i="24"/>
  <c r="AW246" i="24"/>
  <c r="AU250" i="24"/>
  <c r="AW250" i="24"/>
  <c r="AU305" i="24"/>
  <c r="AW305" i="24"/>
  <c r="AP110" i="25"/>
  <c r="AT173" i="25"/>
  <c r="BA173" i="25" s="1"/>
  <c r="AU173" i="25"/>
  <c r="AT171" i="25"/>
  <c r="BA171" i="25" s="1"/>
  <c r="AU171" i="25"/>
  <c r="AT191" i="25"/>
  <c r="BA191" i="25" s="1"/>
  <c r="AU191" i="25"/>
  <c r="AT209" i="25"/>
  <c r="BA209" i="25" s="1"/>
  <c r="AU209" i="25"/>
  <c r="AT175" i="25"/>
  <c r="BA175" i="25" s="1"/>
  <c r="AU175" i="25"/>
  <c r="AU123" i="25"/>
  <c r="AT123" i="25"/>
  <c r="BA123" i="25" s="1"/>
  <c r="AU203" i="25"/>
  <c r="AT203" i="25"/>
  <c r="BA203" i="25" s="1"/>
  <c r="AU167" i="25"/>
  <c r="AT167" i="25"/>
  <c r="BA167" i="25" s="1"/>
  <c r="AT148" i="25"/>
  <c r="BA148" i="25" s="1"/>
  <c r="AT199" i="25"/>
  <c r="BA199" i="25" s="1"/>
  <c r="AU199" i="25"/>
  <c r="AT136" i="25"/>
  <c r="BA136" i="25" s="1"/>
  <c r="AU136" i="25"/>
  <c r="AT180" i="25"/>
  <c r="BA180" i="25" s="1"/>
  <c r="AU180" i="25"/>
  <c r="AT121" i="25"/>
  <c r="BA121" i="25" s="1"/>
  <c r="AU121" i="25"/>
  <c r="AT201" i="25"/>
  <c r="BA201" i="25" s="1"/>
  <c r="AU201" i="25"/>
  <c r="AU147" i="25"/>
  <c r="AT147" i="25"/>
  <c r="BA147" i="25" s="1"/>
  <c r="AT111" i="25"/>
  <c r="BA111" i="25" s="1"/>
  <c r="AU111" i="25"/>
  <c r="AT194" i="25"/>
  <c r="BA194" i="25" s="1"/>
  <c r="AU194" i="25"/>
  <c r="AT202" i="25"/>
  <c r="BA202" i="25" s="1"/>
  <c r="AU202" i="25"/>
  <c r="AT122" i="25"/>
  <c r="BA122" i="25" s="1"/>
  <c r="AU122" i="25"/>
  <c r="AT130" i="25"/>
  <c r="BA130" i="25" s="1"/>
  <c r="AU130" i="25"/>
  <c r="AT115" i="25"/>
  <c r="BA115" i="25" s="1"/>
  <c r="AU115" i="25"/>
  <c r="AT206" i="25"/>
  <c r="BA206" i="25" s="1"/>
  <c r="AU206" i="25"/>
  <c r="AT178" i="25"/>
  <c r="BA178" i="25" s="1"/>
  <c r="AU178" i="25"/>
  <c r="AT186" i="25"/>
  <c r="BA186" i="25" s="1"/>
  <c r="AU186" i="25"/>
  <c r="AT112" i="25"/>
  <c r="BA112" i="25" s="1"/>
  <c r="AU112" i="25"/>
  <c r="AT150" i="25"/>
  <c r="BA150" i="25" s="1"/>
  <c r="AU150" i="25"/>
  <c r="AT160" i="25"/>
  <c r="BA160" i="25" s="1"/>
  <c r="AU160" i="25"/>
  <c r="AT163" i="25"/>
  <c r="BA163" i="25" s="1"/>
  <c r="AU163" i="25"/>
  <c r="AT205" i="25"/>
  <c r="BA205" i="25" s="1"/>
  <c r="AU205" i="25"/>
  <c r="AT162" i="25"/>
  <c r="BA162" i="25" s="1"/>
  <c r="AU162" i="25"/>
  <c r="AT144" i="25"/>
  <c r="BA144" i="25" s="1"/>
  <c r="AU144" i="25"/>
  <c r="AT119" i="25"/>
  <c r="BA119" i="25" s="1"/>
  <c r="AU119" i="25"/>
  <c r="AT181" i="25"/>
  <c r="BA181" i="25" s="1"/>
  <c r="AU181" i="25"/>
  <c r="AT197" i="25"/>
  <c r="BA197" i="25" s="1"/>
  <c r="AU197" i="25"/>
  <c r="AU207" i="25"/>
  <c r="AT207" i="25"/>
  <c r="BA207" i="25" s="1"/>
  <c r="AT134" i="25"/>
  <c r="BA134" i="25" s="1"/>
  <c r="AU134" i="25"/>
  <c r="AT189" i="25"/>
  <c r="BA189" i="25" s="1"/>
  <c r="AU189" i="25"/>
  <c r="AT138" i="25"/>
  <c r="BA138" i="25" s="1"/>
  <c r="AU138" i="25"/>
  <c r="AT113" i="25"/>
  <c r="BA113" i="25" s="1"/>
  <c r="AU113" i="25"/>
  <c r="AT131" i="25"/>
  <c r="BA131" i="25" s="1"/>
  <c r="AU131" i="25"/>
  <c r="AT141" i="25"/>
  <c r="BA141" i="25" s="1"/>
  <c r="AU141" i="25"/>
  <c r="AT132" i="25"/>
  <c r="BA132" i="25" s="1"/>
  <c r="AU132" i="25"/>
  <c r="AU135" i="25"/>
  <c r="AT135" i="25"/>
  <c r="BA135" i="25" s="1"/>
  <c r="AT155" i="25"/>
  <c r="BA155" i="25" s="1"/>
  <c r="AU155" i="25"/>
  <c r="AT208" i="25"/>
  <c r="BA208" i="25" s="1"/>
  <c r="AU208" i="25"/>
  <c r="AT165" i="25"/>
  <c r="BA165" i="25" s="1"/>
  <c r="AU165" i="25"/>
  <c r="AT145" i="25"/>
  <c r="BA145" i="25" s="1"/>
  <c r="AU145" i="25"/>
  <c r="AT137" i="25"/>
  <c r="BA137" i="25" s="1"/>
  <c r="AU137" i="25"/>
  <c r="AT193" i="25"/>
  <c r="BA193" i="25" s="1"/>
  <c r="AU193" i="25"/>
  <c r="AU127" i="25"/>
  <c r="AT127" i="25"/>
  <c r="BA127" i="25" s="1"/>
  <c r="AT157" i="25"/>
  <c r="BA157" i="25" s="1"/>
  <c r="AU157" i="25"/>
  <c r="AT151" i="25"/>
  <c r="BA151" i="25" s="1"/>
  <c r="AU151" i="25"/>
  <c r="AT117" i="25"/>
  <c r="BA117" i="25" s="1"/>
  <c r="AU117" i="25"/>
  <c r="AT146" i="25"/>
  <c r="BA146" i="25" s="1"/>
  <c r="AU146" i="25"/>
  <c r="AT154" i="25"/>
  <c r="BA154" i="25" s="1"/>
  <c r="AU154" i="25"/>
  <c r="AT183" i="25"/>
  <c r="BA183" i="25" s="1"/>
  <c r="AU183" i="25"/>
  <c r="AT190" i="25"/>
  <c r="BA190" i="25" s="1"/>
  <c r="AU190" i="25"/>
  <c r="AT116" i="25"/>
  <c r="BA116" i="25" s="1"/>
  <c r="AU116" i="25"/>
  <c r="AT153" i="25"/>
  <c r="BA153" i="25" s="1"/>
  <c r="AU153" i="25"/>
  <c r="AT128" i="25"/>
  <c r="BA128" i="25" s="1"/>
  <c r="AU128" i="25"/>
  <c r="AT118" i="25"/>
  <c r="BA118" i="25" s="1"/>
  <c r="AU118" i="25"/>
  <c r="AT164" i="25"/>
  <c r="BA164" i="25" s="1"/>
  <c r="AU164" i="25"/>
  <c r="AT185" i="25"/>
  <c r="BA185" i="25" s="1"/>
  <c r="AU185" i="25"/>
  <c r="AT188" i="25"/>
  <c r="BA188" i="25" s="1"/>
  <c r="AU188" i="25"/>
  <c r="AT158" i="25"/>
  <c r="BA158" i="25" s="1"/>
  <c r="AU158" i="25"/>
  <c r="AT149" i="25"/>
  <c r="BA149" i="25" s="1"/>
  <c r="AU149" i="25"/>
  <c r="AT195" i="25"/>
  <c r="BA195" i="25" s="1"/>
  <c r="AU195" i="25"/>
  <c r="AT177" i="25"/>
  <c r="BA177" i="25" s="1"/>
  <c r="AU177" i="25"/>
  <c r="AT176" i="25"/>
  <c r="BA176" i="25" s="1"/>
  <c r="AU176" i="25"/>
  <c r="AT174" i="25"/>
  <c r="BA174" i="25" s="1"/>
  <c r="AU174" i="25"/>
  <c r="AT168" i="25"/>
  <c r="BA168" i="25" s="1"/>
  <c r="AU168" i="25"/>
  <c r="AT198" i="25"/>
  <c r="BA198" i="25" s="1"/>
  <c r="AU198" i="25"/>
  <c r="AU187" i="25"/>
  <c r="AT187" i="25"/>
  <c r="BA187" i="25" s="1"/>
  <c r="AT159" i="25"/>
  <c r="BA159" i="25" s="1"/>
  <c r="AU159" i="25"/>
  <c r="AT182" i="25"/>
  <c r="BA182" i="25" s="1"/>
  <c r="AU182" i="25"/>
  <c r="AT152" i="25"/>
  <c r="BA152" i="25" s="1"/>
  <c r="AU152" i="25"/>
  <c r="AT129" i="25"/>
  <c r="BA129" i="25" s="1"/>
  <c r="AU129" i="25"/>
  <c r="AT139" i="25"/>
  <c r="BA139" i="25" s="1"/>
  <c r="AU139" i="25"/>
  <c r="AT200" i="25"/>
  <c r="BA200" i="25" s="1"/>
  <c r="AU200" i="25"/>
  <c r="AT114" i="25"/>
  <c r="BA114" i="25" s="1"/>
  <c r="AU114" i="25"/>
  <c r="AT142" i="25"/>
  <c r="BA142" i="25" s="1"/>
  <c r="AU142" i="25"/>
  <c r="AU179" i="25"/>
  <c r="AT179" i="25"/>
  <c r="BA179" i="25" s="1"/>
  <c r="AT140" i="25"/>
  <c r="BA140" i="25" s="1"/>
  <c r="AU140" i="25"/>
  <c r="AT161" i="25"/>
  <c r="BA161" i="25" s="1"/>
  <c r="AU161" i="25"/>
  <c r="AT169" i="25"/>
  <c r="BA169" i="25" s="1"/>
  <c r="AU169" i="25"/>
  <c r="AT192" i="25"/>
  <c r="BA192" i="25" s="1"/>
  <c r="AU192" i="25"/>
  <c r="AT124" i="25"/>
  <c r="BA124" i="25" s="1"/>
  <c r="AU124" i="25"/>
  <c r="AT204" i="25"/>
  <c r="BA204" i="25" s="1"/>
  <c r="AU204" i="25"/>
  <c r="AU143" i="25"/>
  <c r="AT143" i="25"/>
  <c r="BA143" i="25" s="1"/>
  <c r="AT170" i="25"/>
  <c r="BA170" i="25" s="1"/>
  <c r="AU170" i="25"/>
  <c r="AT166" i="25"/>
  <c r="BA166" i="25" s="1"/>
  <c r="AU166" i="25"/>
  <c r="AT120" i="25"/>
  <c r="BA120" i="25" s="1"/>
  <c r="AU120" i="25"/>
  <c r="AT313" i="25"/>
  <c r="BA313" i="25" s="1"/>
  <c r="AT254" i="25"/>
  <c r="BA254" i="25" s="1"/>
  <c r="AU254" i="25"/>
  <c r="AT279" i="25"/>
  <c r="BA279" i="25" s="1"/>
  <c r="AU279" i="25"/>
  <c r="AT223" i="25"/>
  <c r="BA223" i="25" s="1"/>
  <c r="AU223" i="25"/>
  <c r="AT282" i="25"/>
  <c r="BA282" i="25" s="1"/>
  <c r="AU282" i="25"/>
  <c r="AT265" i="25"/>
  <c r="BA265" i="25" s="1"/>
  <c r="AU265" i="25"/>
  <c r="AU261" i="25"/>
  <c r="AT261" i="25"/>
  <c r="BA261" i="25" s="1"/>
  <c r="AT236" i="25"/>
  <c r="BA236" i="25" s="1"/>
  <c r="AU236" i="25"/>
  <c r="AT247" i="25"/>
  <c r="BA247" i="25" s="1"/>
  <c r="AU247" i="25"/>
  <c r="AT292" i="25"/>
  <c r="BA292" i="25" s="1"/>
  <c r="AU292" i="25"/>
  <c r="AT222" i="25"/>
  <c r="BA222" i="25" s="1"/>
  <c r="AU222" i="25"/>
  <c r="AT307" i="25"/>
  <c r="BA307" i="25" s="1"/>
  <c r="AU307" i="25"/>
  <c r="AT219" i="25"/>
  <c r="BA219" i="25" s="1"/>
  <c r="AU219" i="25"/>
  <c r="AT290" i="25"/>
  <c r="BA290" i="25" s="1"/>
  <c r="AU290" i="25"/>
  <c r="AT260" i="25"/>
  <c r="BA260" i="25" s="1"/>
  <c r="AU260" i="25"/>
  <c r="AT280" i="25"/>
  <c r="BA280" i="25" s="1"/>
  <c r="AU280" i="25"/>
  <c r="AU273" i="25"/>
  <c r="AT273" i="25"/>
  <c r="BA273" i="25" s="1"/>
  <c r="AT284" i="25"/>
  <c r="BA284" i="25" s="1"/>
  <c r="AU284" i="25"/>
  <c r="AU237" i="25"/>
  <c r="AT237" i="25"/>
  <c r="BA237" i="25" s="1"/>
  <c r="AT303" i="25"/>
  <c r="BA303" i="25" s="1"/>
  <c r="AU303" i="25"/>
  <c r="AT277" i="25"/>
  <c r="BA277" i="25" s="1"/>
  <c r="AU277" i="25"/>
  <c r="AU289" i="25"/>
  <c r="AT289" i="25"/>
  <c r="BA289" i="25" s="1"/>
  <c r="AT241" i="25"/>
  <c r="BA241" i="25" s="1"/>
  <c r="AU241" i="25"/>
  <c r="AT228" i="25"/>
  <c r="BA228" i="25" s="1"/>
  <c r="AU228" i="25"/>
  <c r="AT301" i="25"/>
  <c r="BA301" i="25" s="1"/>
  <c r="AU301" i="25"/>
  <c r="AT291" i="25"/>
  <c r="BA291" i="25" s="1"/>
  <c r="AU291" i="25"/>
  <c r="AT255" i="25"/>
  <c r="BA255" i="25" s="1"/>
  <c r="AU255" i="25"/>
  <c r="AT283" i="25"/>
  <c r="BA283" i="25" s="1"/>
  <c r="AU283" i="25"/>
  <c r="AT306" i="25"/>
  <c r="BA306" i="25" s="1"/>
  <c r="AU306" i="25"/>
  <c r="AT267" i="25"/>
  <c r="BA267" i="25" s="1"/>
  <c r="AU267" i="25"/>
  <c r="AT226" i="25"/>
  <c r="BA226" i="25" s="1"/>
  <c r="AU226" i="25"/>
  <c r="AT271" i="25"/>
  <c r="BA271" i="25" s="1"/>
  <c r="AU271" i="25"/>
  <c r="AT315" i="25"/>
  <c r="BA315" i="25" s="1"/>
  <c r="AU315" i="25"/>
  <c r="AT235" i="25"/>
  <c r="BA235" i="25" s="1"/>
  <c r="AU235" i="25"/>
  <c r="AT305" i="25"/>
  <c r="BA305" i="25" s="1"/>
  <c r="AU305" i="25"/>
  <c r="AU304" i="25"/>
  <c r="AT304" i="25"/>
  <c r="BA304" i="25" s="1"/>
  <c r="AT299" i="25"/>
  <c r="BA299" i="25" s="1"/>
  <c r="AU299" i="25"/>
  <c r="AT225" i="25"/>
  <c r="BA225" i="25" s="1"/>
  <c r="AU225" i="25"/>
  <c r="AT270" i="25"/>
  <c r="BA270" i="25" s="1"/>
  <c r="AU270" i="25"/>
  <c r="AT300" i="25"/>
  <c r="BA300" i="25" s="1"/>
  <c r="AU300" i="25"/>
  <c r="AT227" i="25"/>
  <c r="BA227" i="25" s="1"/>
  <c r="AU227" i="25"/>
  <c r="AT314" i="25"/>
  <c r="BA314" i="25" s="1"/>
  <c r="AU314" i="25"/>
  <c r="AT244" i="25"/>
  <c r="BA244" i="25" s="1"/>
  <c r="AU244" i="25"/>
  <c r="AT266" i="25"/>
  <c r="BA266" i="25" s="1"/>
  <c r="AU266" i="25"/>
  <c r="AT262" i="25"/>
  <c r="BA262" i="25" s="1"/>
  <c r="AU262" i="25"/>
  <c r="AT311" i="25"/>
  <c r="BA311" i="25" s="1"/>
  <c r="AU311" i="25"/>
  <c r="AT231" i="25"/>
  <c r="BA231" i="25" s="1"/>
  <c r="AU231" i="25"/>
  <c r="AT249" i="25"/>
  <c r="BA249" i="25" s="1"/>
  <c r="AU249" i="25"/>
  <c r="AT309" i="25"/>
  <c r="BA309" i="25" s="1"/>
  <c r="AU309" i="25"/>
  <c r="AT218" i="25"/>
  <c r="BA218" i="25" s="1"/>
  <c r="AU218" i="25"/>
  <c r="AT252" i="25"/>
  <c r="BA252" i="25" s="1"/>
  <c r="AU252" i="25"/>
  <c r="AT253" i="25"/>
  <c r="BA253" i="25" s="1"/>
  <c r="AU253" i="25"/>
  <c r="AT229" i="25"/>
  <c r="BA229" i="25" s="1"/>
  <c r="AU229" i="25"/>
  <c r="AT264" i="25"/>
  <c r="BA264" i="25" s="1"/>
  <c r="AU264" i="25"/>
  <c r="AU296" i="25"/>
  <c r="AT296" i="25"/>
  <c r="BA296" i="25" s="1"/>
  <c r="AT316" i="25"/>
  <c r="BA316" i="25" s="1"/>
  <c r="AU316" i="25"/>
  <c r="AU297" i="25"/>
  <c r="AT297" i="25"/>
  <c r="BA297" i="25" s="1"/>
  <c r="AT298" i="25"/>
  <c r="BA298" i="25" s="1"/>
  <c r="AU298" i="25"/>
  <c r="AT281" i="25"/>
  <c r="BA281" i="25" s="1"/>
  <c r="AU281" i="25"/>
  <c r="AT248" i="25"/>
  <c r="BA248" i="25" s="1"/>
  <c r="AU248" i="25"/>
  <c r="AT238" i="25"/>
  <c r="BA238" i="25" s="1"/>
  <c r="AU238" i="25"/>
  <c r="AT286" i="25"/>
  <c r="BA286" i="25" s="1"/>
  <c r="AU286" i="25"/>
  <c r="AU308" i="25"/>
  <c r="AT308" i="25"/>
  <c r="BA308" i="25" s="1"/>
  <c r="AT310" i="25"/>
  <c r="BA310" i="25" s="1"/>
  <c r="AU310" i="25"/>
  <c r="AT240" i="25"/>
  <c r="BA240" i="25" s="1"/>
  <c r="AU240" i="25"/>
  <c r="AT294" i="25"/>
  <c r="BA294" i="25" s="1"/>
  <c r="AU294" i="25"/>
  <c r="AT246" i="25"/>
  <c r="BA246" i="25" s="1"/>
  <c r="AU246" i="25"/>
  <c r="AT287" i="25"/>
  <c r="BA287" i="25" s="1"/>
  <c r="AU287" i="25"/>
  <c r="AT295" i="25"/>
  <c r="BA295" i="25" s="1"/>
  <c r="AU295" i="25"/>
  <c r="AT268" i="25"/>
  <c r="BA268" i="25" s="1"/>
  <c r="AU268" i="25"/>
  <c r="AT293" i="25"/>
  <c r="BA293" i="25" s="1"/>
  <c r="AU293" i="25"/>
  <c r="AT250" i="25"/>
  <c r="BA250" i="25" s="1"/>
  <c r="AU250" i="25"/>
  <c r="AT302" i="25"/>
  <c r="BA302" i="25" s="1"/>
  <c r="AU302" i="25"/>
  <c r="AT221" i="25"/>
  <c r="BA221" i="25" s="1"/>
  <c r="AU221" i="25"/>
  <c r="AT317" i="25"/>
  <c r="BA317" i="25" s="1"/>
  <c r="AU317" i="25"/>
  <c r="AT312" i="25"/>
  <c r="BA312" i="25" s="1"/>
  <c r="AU312" i="25"/>
  <c r="AT278" i="25"/>
  <c r="BA278" i="25" s="1"/>
  <c r="AU278" i="25"/>
  <c r="AT243" i="25"/>
  <c r="BA243" i="25" s="1"/>
  <c r="AU243" i="25"/>
  <c r="AT251" i="25"/>
  <c r="BA251" i="25" s="1"/>
  <c r="AU251" i="25"/>
  <c r="AT285" i="25"/>
  <c r="BA285" i="25" s="1"/>
  <c r="AU285" i="25"/>
  <c r="AT318" i="25"/>
  <c r="BA318" i="25" s="1"/>
  <c r="AU318" i="25"/>
  <c r="AU245" i="25"/>
  <c r="AT245" i="25"/>
  <c r="BA245" i="25" s="1"/>
  <c r="AT234" i="25"/>
  <c r="BA234" i="25" s="1"/>
  <c r="AU234" i="25"/>
  <c r="AT276" i="25"/>
  <c r="BA276" i="25" s="1"/>
  <c r="AU276" i="25"/>
  <c r="AT258" i="25"/>
  <c r="BA258" i="25" s="1"/>
  <c r="AU258" i="25"/>
  <c r="AT256" i="25"/>
  <c r="BA256" i="25" s="1"/>
  <c r="AU256" i="25"/>
  <c r="AT274" i="25"/>
  <c r="BA274" i="25" s="1"/>
  <c r="AU274" i="25"/>
  <c r="AT224" i="25"/>
  <c r="BA224" i="25" s="1"/>
  <c r="AU224" i="25"/>
  <c r="AT275" i="25"/>
  <c r="BA275" i="25" s="1"/>
  <c r="AU275" i="25"/>
  <c r="AT220" i="25"/>
  <c r="BA220" i="25" s="1"/>
  <c r="AU220" i="25"/>
  <c r="AT242" i="25"/>
  <c r="BA242" i="25" s="1"/>
  <c r="AU242" i="25"/>
  <c r="AT263" i="25"/>
  <c r="BA263" i="25" s="1"/>
  <c r="AU263" i="25"/>
  <c r="AT257" i="25"/>
  <c r="BA257" i="25" s="1"/>
  <c r="AU257" i="25"/>
  <c r="AT239" i="25"/>
  <c r="BA239" i="25" s="1"/>
  <c r="AU239" i="25"/>
  <c r="AT288" i="25"/>
  <c r="BA288" i="25" s="1"/>
  <c r="AU288" i="25"/>
  <c r="AT259" i="25"/>
  <c r="BA259" i="25" s="1"/>
  <c r="AU259" i="25"/>
  <c r="AT230" i="25"/>
  <c r="BA230" i="25" s="1"/>
  <c r="AU230" i="25"/>
  <c r="AU269" i="25"/>
  <c r="AT269" i="25"/>
  <c r="BA269" i="25" s="1"/>
  <c r="AT232" i="25"/>
  <c r="BA232" i="25" s="1"/>
  <c r="AU232" i="25"/>
  <c r="AT233" i="25"/>
  <c r="BA233" i="25" s="1"/>
  <c r="AU233" i="25"/>
  <c r="AR5" i="25"/>
  <c r="BK5" i="25"/>
  <c r="BV5" i="25"/>
  <c r="AP5" i="25"/>
  <c r="BI5" i="25"/>
  <c r="BJ5" i="25"/>
  <c r="B100" i="2"/>
  <c r="B90" i="2"/>
  <c r="AU65" i="25"/>
  <c r="AU98" i="25"/>
  <c r="AU43" i="25"/>
  <c r="AU55" i="25"/>
  <c r="AU57" i="25"/>
  <c r="AU73" i="25"/>
  <c r="AU85" i="25"/>
  <c r="AU95" i="25"/>
  <c r="AU32" i="25"/>
  <c r="AU66" i="25"/>
  <c r="AU84" i="25"/>
  <c r="AU99" i="25"/>
  <c r="AU18" i="25"/>
  <c r="AU60" i="25"/>
  <c r="AU90" i="25"/>
  <c r="AU33" i="25"/>
  <c r="AT35" i="25"/>
  <c r="AU35" i="25"/>
  <c r="AT105" i="25"/>
  <c r="AU105" i="25"/>
  <c r="AT41" i="25"/>
  <c r="AU41" i="25"/>
  <c r="AT15" i="25"/>
  <c r="AU15" i="25"/>
  <c r="AU25" i="25"/>
  <c r="AT92" i="25"/>
  <c r="AU92" i="25"/>
  <c r="AT104" i="25"/>
  <c r="AU104" i="25"/>
  <c r="AT52" i="25"/>
  <c r="AU52" i="25"/>
  <c r="AT96" i="25"/>
  <c r="AU96" i="25"/>
  <c r="AT94" i="25"/>
  <c r="AU94" i="25"/>
  <c r="AT31" i="25"/>
  <c r="AU31" i="25"/>
  <c r="AT24" i="25"/>
  <c r="AU24" i="25"/>
  <c r="AT13" i="25"/>
  <c r="AU13" i="25"/>
  <c r="AT68" i="25"/>
  <c r="AU68" i="25"/>
  <c r="AT91" i="25"/>
  <c r="AU91" i="25"/>
  <c r="AT93" i="25"/>
  <c r="AU93" i="25"/>
  <c r="AT30" i="25"/>
  <c r="AU30" i="25"/>
  <c r="AU16" i="25"/>
  <c r="AT71" i="25"/>
  <c r="AU71" i="25"/>
  <c r="AT61" i="25"/>
  <c r="AU61" i="25"/>
  <c r="AT54" i="25"/>
  <c r="AU54" i="25"/>
  <c r="AU10" i="25"/>
  <c r="AU23" i="25"/>
  <c r="AT79" i="25"/>
  <c r="AU79" i="25"/>
  <c r="AT40" i="25"/>
  <c r="AU40" i="25"/>
  <c r="AT27" i="25"/>
  <c r="AU27" i="25"/>
  <c r="AU77" i="25"/>
  <c r="AT53" i="25"/>
  <c r="AU53" i="25"/>
  <c r="AT51" i="25"/>
  <c r="AU51" i="25"/>
  <c r="AT63" i="25"/>
  <c r="AU63" i="25"/>
  <c r="AT67" i="25"/>
  <c r="AU67" i="25"/>
  <c r="AT47" i="25"/>
  <c r="AU47" i="25"/>
  <c r="AT22" i="25"/>
  <c r="AU22" i="25"/>
  <c r="AT17" i="25"/>
  <c r="AU17" i="25"/>
  <c r="AT78" i="25"/>
  <c r="AU78" i="25"/>
  <c r="AT20" i="25"/>
  <c r="AU20" i="25"/>
  <c r="AT9" i="25"/>
  <c r="AU9" i="25"/>
  <c r="AU39" i="25"/>
  <c r="AT76" i="25"/>
  <c r="AU76" i="25"/>
  <c r="AT48" i="25"/>
  <c r="AU48" i="25"/>
  <c r="AT59" i="25"/>
  <c r="AU59" i="25"/>
  <c r="AU46" i="25"/>
  <c r="AU89" i="25"/>
  <c r="AU19" i="25"/>
  <c r="AT101" i="25"/>
  <c r="AU101" i="25"/>
  <c r="AU50" i="25"/>
  <c r="AT69" i="25"/>
  <c r="AU69" i="25"/>
  <c r="AT37" i="25"/>
  <c r="AU37" i="25"/>
  <c r="AT38" i="25"/>
  <c r="AU38" i="25"/>
  <c r="AT49" i="25"/>
  <c r="AU49" i="25"/>
  <c r="AT11" i="25"/>
  <c r="AU11" i="25"/>
  <c r="AT6" i="25"/>
  <c r="AU6" i="25"/>
  <c r="AT36" i="25"/>
  <c r="AU36" i="25"/>
  <c r="AU7" i="25"/>
  <c r="AT97" i="25"/>
  <c r="AU97" i="25"/>
  <c r="AT28" i="25"/>
  <c r="AU28" i="25"/>
  <c r="AT100" i="25"/>
  <c r="AU100" i="25"/>
  <c r="AT44" i="25"/>
  <c r="AU44" i="25"/>
  <c r="AT26" i="25"/>
  <c r="AU26" i="25"/>
  <c r="AT103" i="25"/>
  <c r="AU103" i="25"/>
  <c r="AT64" i="25"/>
  <c r="AU64" i="25"/>
  <c r="AT62" i="25"/>
  <c r="AU62" i="25"/>
  <c r="AT12" i="25"/>
  <c r="AU12" i="25"/>
  <c r="AU75" i="25"/>
  <c r="AT42" i="25"/>
  <c r="AU42" i="25"/>
  <c r="AT87" i="25"/>
  <c r="AU87" i="25"/>
  <c r="AU45" i="25"/>
  <c r="AU80" i="25"/>
  <c r="AT86" i="25"/>
  <c r="AU86" i="25"/>
  <c r="AT14" i="25"/>
  <c r="AU14" i="25"/>
  <c r="AT56" i="25"/>
  <c r="AU56" i="25"/>
  <c r="AT83" i="25"/>
  <c r="AU83" i="25"/>
  <c r="AT21" i="25"/>
  <c r="AU21" i="25"/>
  <c r="AU74" i="25"/>
  <c r="AT88" i="25"/>
  <c r="AU88" i="25"/>
  <c r="AT82" i="25"/>
  <c r="AU82" i="25"/>
  <c r="AT29" i="25"/>
  <c r="AU29" i="25"/>
  <c r="AU34" i="25"/>
  <c r="AT102" i="25"/>
  <c r="AU102" i="25"/>
  <c r="AT81" i="25"/>
  <c r="AU81" i="25"/>
  <c r="AT70" i="25"/>
  <c r="AU70" i="25"/>
  <c r="AU72" i="25"/>
  <c r="AT8" i="25"/>
  <c r="AU8" i="25"/>
  <c r="AW40" i="24"/>
  <c r="AY40" i="24" s="1"/>
  <c r="AZ40" i="24" s="1"/>
  <c r="AU32" i="24"/>
  <c r="AU53" i="24"/>
  <c r="BF53" i="24"/>
  <c r="BI53" i="24" s="1"/>
  <c r="BG53" i="24"/>
  <c r="BT53" i="24" s="1"/>
  <c r="BF32" i="24"/>
  <c r="BI32" i="24" s="1"/>
  <c r="BG32" i="24"/>
  <c r="BT32" i="24" s="1"/>
  <c r="AU18" i="24"/>
  <c r="AW18" i="24"/>
  <c r="AY18" i="24" s="1"/>
  <c r="AZ18" i="24" s="1"/>
  <c r="AW29" i="24"/>
  <c r="AY29" i="24" s="1"/>
  <c r="AZ29" i="24" s="1"/>
  <c r="AU29" i="24"/>
  <c r="AW82" i="24"/>
  <c r="AY82" i="24" s="1"/>
  <c r="AZ82" i="24" s="1"/>
  <c r="AU82" i="24"/>
  <c r="AW54" i="24"/>
  <c r="AY54" i="24" s="1"/>
  <c r="AZ54" i="24" s="1"/>
  <c r="AU54" i="24"/>
  <c r="AW19" i="24"/>
  <c r="AY19" i="24" s="1"/>
  <c r="AZ19" i="24" s="1"/>
  <c r="AU19" i="24"/>
  <c r="AW89" i="24"/>
  <c r="AY89" i="24" s="1"/>
  <c r="AZ89" i="24" s="1"/>
  <c r="AU89" i="24"/>
  <c r="AW59" i="24"/>
  <c r="AY59" i="24" s="1"/>
  <c r="AZ59" i="24" s="1"/>
  <c r="AU59" i="24"/>
  <c r="AW42" i="24"/>
  <c r="AY42" i="24" s="1"/>
  <c r="AZ42" i="24" s="1"/>
  <c r="AU42" i="24"/>
  <c r="AW36" i="24"/>
  <c r="AY36" i="24" s="1"/>
  <c r="AZ36" i="24" s="1"/>
  <c r="AU36" i="24"/>
  <c r="AW63" i="24"/>
  <c r="AY63" i="24" s="1"/>
  <c r="AZ63" i="24" s="1"/>
  <c r="AU63" i="24"/>
  <c r="AW56" i="24"/>
  <c r="AY56" i="24" s="1"/>
  <c r="AZ56" i="24" s="1"/>
  <c r="AU56" i="24"/>
  <c r="AW74" i="24"/>
  <c r="AY74" i="24" s="1"/>
  <c r="AZ74" i="24" s="1"/>
  <c r="AU74" i="24"/>
  <c r="AW72" i="24"/>
  <c r="AY72" i="24" s="1"/>
  <c r="AZ72" i="24" s="1"/>
  <c r="AU72" i="24"/>
  <c r="AW92" i="24"/>
  <c r="AY92" i="24" s="1"/>
  <c r="AZ92" i="24" s="1"/>
  <c r="AU92" i="24"/>
  <c r="AW79" i="24"/>
  <c r="AY79" i="24" s="1"/>
  <c r="AZ79" i="24" s="1"/>
  <c r="AU79" i="24"/>
  <c r="AW28" i="24"/>
  <c r="AY28" i="24" s="1"/>
  <c r="AZ28" i="24" s="1"/>
  <c r="AU28" i="24"/>
  <c r="AW96" i="24"/>
  <c r="AY96" i="24" s="1"/>
  <c r="AZ96" i="24" s="1"/>
  <c r="AU96" i="24"/>
  <c r="AW83" i="24"/>
  <c r="AY83" i="24" s="1"/>
  <c r="AZ83" i="24" s="1"/>
  <c r="AU83" i="24"/>
  <c r="AW68" i="24"/>
  <c r="AY68" i="24" s="1"/>
  <c r="AZ68" i="24" s="1"/>
  <c r="AU68" i="24"/>
  <c r="AW31" i="24"/>
  <c r="AY31" i="24" s="1"/>
  <c r="AZ31" i="24" s="1"/>
  <c r="AU31" i="24"/>
  <c r="AW46" i="24"/>
  <c r="AY46" i="24" s="1"/>
  <c r="AZ46" i="24" s="1"/>
  <c r="AU46" i="24"/>
  <c r="AW21" i="24"/>
  <c r="AY21" i="24" s="1"/>
  <c r="AZ21" i="24" s="1"/>
  <c r="AU21" i="24"/>
  <c r="AW85" i="24"/>
  <c r="AY85" i="24" s="1"/>
  <c r="AZ85" i="24" s="1"/>
  <c r="AU85" i="24"/>
  <c r="AW100" i="24"/>
  <c r="AY100" i="24" s="1"/>
  <c r="AZ100" i="24" s="1"/>
  <c r="AU100" i="24"/>
  <c r="BV106" i="19"/>
  <c r="CB106" i="19" s="1"/>
  <c r="BW106" i="19"/>
  <c r="CC106" i="19" s="1"/>
  <c r="AT196" i="25" l="1"/>
  <c r="BA196" i="25" s="1"/>
  <c r="AT272" i="25"/>
  <c r="BA272" i="25" s="1"/>
  <c r="AU172" i="25"/>
  <c r="AU133" i="25"/>
  <c r="AU126" i="25"/>
  <c r="AU125" i="25"/>
  <c r="BE125" i="25" s="1"/>
  <c r="BT125" i="25" s="1"/>
  <c r="AT156" i="25"/>
  <c r="BA156" i="25" s="1"/>
  <c r="AU210" i="25"/>
  <c r="BD210" i="25" s="1"/>
  <c r="AU282" i="24"/>
  <c r="BD282" i="24" s="1"/>
  <c r="AU184" i="25"/>
  <c r="BD184" i="25" s="1"/>
  <c r="BV38" i="24"/>
  <c r="CD38" i="24"/>
  <c r="BD217" i="24"/>
  <c r="BC217" i="24"/>
  <c r="BC110" i="24"/>
  <c r="BD110" i="24"/>
  <c r="BD254" i="24"/>
  <c r="BC254" i="24"/>
  <c r="BC160" i="24"/>
  <c r="BD160" i="24"/>
  <c r="BD277" i="24"/>
  <c r="BC277" i="24"/>
  <c r="BD265" i="24"/>
  <c r="BC265" i="24"/>
  <c r="BD287" i="24"/>
  <c r="BC287" i="24"/>
  <c r="BC158" i="24"/>
  <c r="BD158" i="24"/>
  <c r="BC192" i="24"/>
  <c r="BD192" i="24"/>
  <c r="BD280" i="24"/>
  <c r="BC280" i="24"/>
  <c r="BD298" i="24"/>
  <c r="BC298" i="24"/>
  <c r="BD234" i="24"/>
  <c r="BC234" i="24"/>
  <c r="BC134" i="24"/>
  <c r="BD134" i="24"/>
  <c r="BC199" i="24"/>
  <c r="BD199" i="24"/>
  <c r="BC112" i="24"/>
  <c r="BD112" i="24"/>
  <c r="BD307" i="24"/>
  <c r="BC307" i="24"/>
  <c r="BD285" i="24"/>
  <c r="BC285" i="24"/>
  <c r="BD233" i="24"/>
  <c r="BC233" i="24"/>
  <c r="BC130" i="24"/>
  <c r="BD130" i="24"/>
  <c r="BD296" i="24"/>
  <c r="BC296" i="24"/>
  <c r="BD313" i="24"/>
  <c r="BC313" i="24"/>
  <c r="BC191" i="24"/>
  <c r="BD191" i="24"/>
  <c r="BD290" i="24"/>
  <c r="BC290" i="24"/>
  <c r="BC133" i="24"/>
  <c r="BD133" i="24"/>
  <c r="BC179" i="24"/>
  <c r="BD179" i="24"/>
  <c r="BD255" i="24"/>
  <c r="BC255" i="24"/>
  <c r="BC143" i="24"/>
  <c r="BD143" i="24"/>
  <c r="BD267" i="24"/>
  <c r="BC267" i="24"/>
  <c r="BC139" i="24"/>
  <c r="BD139" i="24"/>
  <c r="BD281" i="24"/>
  <c r="BC281" i="24"/>
  <c r="BC124" i="24"/>
  <c r="BD124" i="24"/>
  <c r="BC185" i="24"/>
  <c r="BD185" i="24"/>
  <c r="BC172" i="24"/>
  <c r="BD172" i="24"/>
  <c r="BC188" i="24"/>
  <c r="BD188" i="24"/>
  <c r="BC165" i="24"/>
  <c r="BD165" i="24"/>
  <c r="BC126" i="24"/>
  <c r="BD126" i="24"/>
  <c r="BD231" i="24"/>
  <c r="BC231" i="24"/>
  <c r="BD244" i="24"/>
  <c r="BC244" i="24"/>
  <c r="BC138" i="24"/>
  <c r="BD138" i="24"/>
  <c r="BD252" i="24"/>
  <c r="BC252" i="24"/>
  <c r="BC148" i="24"/>
  <c r="BD148" i="24"/>
  <c r="BC154" i="24"/>
  <c r="BD154" i="24"/>
  <c r="BD219" i="24"/>
  <c r="BC219" i="24"/>
  <c r="BC144" i="24"/>
  <c r="BD144" i="24"/>
  <c r="BD299" i="24"/>
  <c r="BC299" i="24"/>
  <c r="BD314" i="24"/>
  <c r="BC314" i="24"/>
  <c r="BC153" i="24"/>
  <c r="BD153" i="24"/>
  <c r="BD311" i="24"/>
  <c r="BC311" i="24"/>
  <c r="BD221" i="24"/>
  <c r="BC221" i="24"/>
  <c r="BD253" i="24"/>
  <c r="BC253" i="24"/>
  <c r="BC171" i="24"/>
  <c r="BD171" i="24"/>
  <c r="BD291" i="24"/>
  <c r="BC291" i="24"/>
  <c r="BD310" i="24"/>
  <c r="BC310" i="24"/>
  <c r="BC180" i="24"/>
  <c r="BD180" i="24"/>
  <c r="BC197" i="24"/>
  <c r="BD197" i="24"/>
  <c r="BD289" i="24"/>
  <c r="BC289" i="24"/>
  <c r="BD272" i="24"/>
  <c r="BC272" i="24"/>
  <c r="BD295" i="24"/>
  <c r="BC295" i="24"/>
  <c r="BD301" i="24"/>
  <c r="BC301" i="24"/>
  <c r="BD286" i="24"/>
  <c r="BC286" i="24"/>
  <c r="BC129" i="24"/>
  <c r="BD129" i="24"/>
  <c r="BC169" i="24"/>
  <c r="BD169" i="24"/>
  <c r="BC195" i="24"/>
  <c r="BD195" i="24"/>
  <c r="BC189" i="24"/>
  <c r="BD189" i="24"/>
  <c r="BC167" i="24"/>
  <c r="BD167" i="24"/>
  <c r="BC120" i="24"/>
  <c r="BD120" i="24"/>
  <c r="BD315" i="24"/>
  <c r="BC315" i="24"/>
  <c r="BD293" i="24"/>
  <c r="BC293" i="24"/>
  <c r="BC175" i="24"/>
  <c r="BD175" i="24"/>
  <c r="BD300" i="24"/>
  <c r="BC300" i="24"/>
  <c r="BC141" i="24"/>
  <c r="BD141" i="24"/>
  <c r="BC119" i="24"/>
  <c r="BD119" i="24"/>
  <c r="BC176" i="24"/>
  <c r="BD176" i="24"/>
  <c r="BD232" i="24"/>
  <c r="BC232" i="24"/>
  <c r="BD264" i="24"/>
  <c r="BC264" i="24"/>
  <c r="BD248" i="24"/>
  <c r="BC248" i="24"/>
  <c r="BD240" i="24"/>
  <c r="BC240" i="24"/>
  <c r="BC210" i="24"/>
  <c r="BD210" i="24"/>
  <c r="BC123" i="24"/>
  <c r="BD123" i="24"/>
  <c r="BC136" i="24"/>
  <c r="BD136" i="24"/>
  <c r="BC209" i="24"/>
  <c r="BD209" i="24"/>
  <c r="BD226" i="24"/>
  <c r="BC226" i="24"/>
  <c r="BC206" i="24"/>
  <c r="BD206" i="24"/>
  <c r="BC168" i="24"/>
  <c r="BD168" i="24"/>
  <c r="BD292" i="24"/>
  <c r="BC292" i="24"/>
  <c r="BD312" i="24"/>
  <c r="BC312" i="24"/>
  <c r="BD261" i="24"/>
  <c r="BC261" i="24"/>
  <c r="BD306" i="24"/>
  <c r="BC306" i="24"/>
  <c r="BC166" i="24"/>
  <c r="BD166" i="24"/>
  <c r="BD246" i="24"/>
  <c r="BC246" i="24"/>
  <c r="BD223" i="24"/>
  <c r="BC223" i="24"/>
  <c r="BD258" i="24"/>
  <c r="BC258" i="24"/>
  <c r="BD273" i="24"/>
  <c r="BC273" i="24"/>
  <c r="BC203" i="24"/>
  <c r="BD203" i="24"/>
  <c r="BD305" i="24"/>
  <c r="BC305" i="24"/>
  <c r="BC164" i="24"/>
  <c r="BD164" i="24"/>
  <c r="BD241" i="24"/>
  <c r="BC241" i="24"/>
  <c r="BD276" i="24"/>
  <c r="BC276" i="24"/>
  <c r="BC127" i="24"/>
  <c r="BD127" i="24"/>
  <c r="BD230" i="24"/>
  <c r="BC230" i="24"/>
  <c r="BD268" i="24"/>
  <c r="BC268" i="24"/>
  <c r="BC145" i="24"/>
  <c r="BD145" i="24"/>
  <c r="BC140" i="24"/>
  <c r="BD140" i="24"/>
  <c r="BD259" i="24"/>
  <c r="BC259" i="24"/>
  <c r="BD278" i="24"/>
  <c r="BC278" i="24"/>
  <c r="BD251" i="24"/>
  <c r="BC251" i="24"/>
  <c r="BC116" i="24"/>
  <c r="BD116" i="24"/>
  <c r="BD249" i="24"/>
  <c r="BC249" i="24"/>
  <c r="BD271" i="24"/>
  <c r="BC271" i="24"/>
  <c r="BD245" i="24"/>
  <c r="BC245" i="24"/>
  <c r="BD302" i="24"/>
  <c r="BC302" i="24"/>
  <c r="BD229" i="24"/>
  <c r="BC229" i="24"/>
  <c r="BD288" i="24"/>
  <c r="BC288" i="24"/>
  <c r="BC200" i="24"/>
  <c r="BD200" i="24"/>
  <c r="BC183" i="24"/>
  <c r="BD183" i="24"/>
  <c r="BD222" i="24"/>
  <c r="BC222" i="24"/>
  <c r="BD260" i="24"/>
  <c r="BC260" i="24"/>
  <c r="BD262" i="24"/>
  <c r="BC262" i="24"/>
  <c r="BC118" i="24"/>
  <c r="BD118" i="24"/>
  <c r="BD308" i="24"/>
  <c r="BC308" i="24"/>
  <c r="BC151" i="24"/>
  <c r="BD151" i="24"/>
  <c r="BC161" i="24"/>
  <c r="BD161" i="24"/>
  <c r="BD266" i="24"/>
  <c r="BC266" i="24"/>
  <c r="BC159" i="24"/>
  <c r="BD159" i="24"/>
  <c r="BC193" i="24"/>
  <c r="BD193" i="24"/>
  <c r="BC115" i="24"/>
  <c r="BD115" i="24"/>
  <c r="BD270" i="24"/>
  <c r="BC270" i="24"/>
  <c r="BD283" i="24"/>
  <c r="BC283" i="24"/>
  <c r="BD238" i="24"/>
  <c r="BC238" i="24"/>
  <c r="BD294" i="24"/>
  <c r="BC294" i="24"/>
  <c r="BC202" i="24"/>
  <c r="BD202" i="24"/>
  <c r="BC135" i="24"/>
  <c r="BD135" i="24"/>
  <c r="BD304" i="24"/>
  <c r="BC304" i="24"/>
  <c r="BD242" i="24"/>
  <c r="BC242" i="24"/>
  <c r="BC208" i="24"/>
  <c r="BD208" i="24"/>
  <c r="BC156" i="24"/>
  <c r="BD156" i="24"/>
  <c r="BC181" i="24"/>
  <c r="BD181" i="24"/>
  <c r="BD239" i="24"/>
  <c r="BC239" i="24"/>
  <c r="BC182" i="24"/>
  <c r="BD182" i="24"/>
  <c r="BD263" i="24"/>
  <c r="BC263" i="24"/>
  <c r="BD250" i="24"/>
  <c r="BC250" i="24"/>
  <c r="BD220" i="24"/>
  <c r="BC220" i="24"/>
  <c r="BD236" i="24"/>
  <c r="BC236" i="24"/>
  <c r="BD269" i="24"/>
  <c r="BC269" i="24"/>
  <c r="BD274" i="24"/>
  <c r="BC274" i="24"/>
  <c r="BD224" i="24"/>
  <c r="BC224" i="24"/>
  <c r="BD284" i="24"/>
  <c r="BC284" i="24"/>
  <c r="BC111" i="24"/>
  <c r="BD111" i="24"/>
  <c r="BD317" i="24"/>
  <c r="BC317" i="24"/>
  <c r="BD235" i="24"/>
  <c r="BC235" i="24"/>
  <c r="BD257" i="24"/>
  <c r="BC257" i="24"/>
  <c r="BD225" i="24"/>
  <c r="BC225" i="24"/>
  <c r="BC177" i="24"/>
  <c r="BD177" i="24"/>
  <c r="BC142" i="24"/>
  <c r="BD142" i="24"/>
  <c r="BC178" i="24"/>
  <c r="BD178" i="24"/>
  <c r="BD247" i="24"/>
  <c r="BC247" i="24"/>
  <c r="BD303" i="24"/>
  <c r="BC303" i="24"/>
  <c r="BC121" i="24"/>
  <c r="BD121" i="24"/>
  <c r="BD237" i="24"/>
  <c r="BC237" i="24"/>
  <c r="BC187" i="24"/>
  <c r="BD187" i="24"/>
  <c r="BC190" i="24"/>
  <c r="BD190" i="24"/>
  <c r="BC137" i="24"/>
  <c r="BD137" i="24"/>
  <c r="BC173" i="24"/>
  <c r="BD173" i="24"/>
  <c r="BD275" i="24"/>
  <c r="BC275" i="24"/>
  <c r="BC125" i="24"/>
  <c r="BD125" i="24"/>
  <c r="BC113" i="24"/>
  <c r="BD113" i="24"/>
  <c r="BD316" i="24"/>
  <c r="BC316" i="24"/>
  <c r="BC201" i="24"/>
  <c r="BD201" i="24"/>
  <c r="BC149" i="24"/>
  <c r="BD149" i="24"/>
  <c r="BD297" i="24"/>
  <c r="BC297" i="24"/>
  <c r="BD228" i="24"/>
  <c r="BC228" i="24"/>
  <c r="BC194" i="24"/>
  <c r="BD194" i="24"/>
  <c r="BC155" i="24"/>
  <c r="BD155" i="24"/>
  <c r="BD243" i="24"/>
  <c r="BC243" i="24"/>
  <c r="BC114" i="24"/>
  <c r="BD114" i="24"/>
  <c r="BC92" i="24"/>
  <c r="BD92" i="24"/>
  <c r="BA78" i="25"/>
  <c r="BB78" i="25"/>
  <c r="BA13" i="25"/>
  <c r="BB13" i="25"/>
  <c r="BC46" i="24"/>
  <c r="BD46" i="24"/>
  <c r="BC36" i="24"/>
  <c r="BD36" i="24"/>
  <c r="BA88" i="25"/>
  <c r="BB88" i="25"/>
  <c r="BA100" i="25"/>
  <c r="BB100" i="25"/>
  <c r="BA52" i="25"/>
  <c r="BB52" i="25"/>
  <c r="BA14" i="25"/>
  <c r="BB14" i="25"/>
  <c r="BA21" i="25"/>
  <c r="BB21" i="25"/>
  <c r="BA86" i="25"/>
  <c r="BB86" i="25"/>
  <c r="BA11" i="25"/>
  <c r="BB11" i="25"/>
  <c r="BA59" i="25"/>
  <c r="BB59" i="25"/>
  <c r="BA79" i="25"/>
  <c r="BB79" i="25"/>
  <c r="BA71" i="25"/>
  <c r="BB71" i="25"/>
  <c r="BA105" i="25"/>
  <c r="BB105" i="25"/>
  <c r="BC85" i="24"/>
  <c r="BD85" i="24"/>
  <c r="BC68" i="24"/>
  <c r="BD68" i="24"/>
  <c r="BC79" i="24"/>
  <c r="BD79" i="24"/>
  <c r="BC56" i="24"/>
  <c r="BD56" i="24"/>
  <c r="BC59" i="24"/>
  <c r="BD59" i="24"/>
  <c r="BC82" i="24"/>
  <c r="BD82" i="24"/>
  <c r="BA29" i="25"/>
  <c r="BB29" i="25"/>
  <c r="BA12" i="25"/>
  <c r="BB12" i="25"/>
  <c r="BA26" i="25"/>
  <c r="BB26" i="25"/>
  <c r="BA97" i="25"/>
  <c r="BB97" i="25"/>
  <c r="BA20" i="25"/>
  <c r="BB20" i="25"/>
  <c r="BA47" i="25"/>
  <c r="BB47" i="25"/>
  <c r="BA53" i="25"/>
  <c r="BB53" i="25"/>
  <c r="BA68" i="25"/>
  <c r="BB68" i="25"/>
  <c r="BA94" i="25"/>
  <c r="BB94" i="25"/>
  <c r="BA92" i="25"/>
  <c r="BB92" i="25"/>
  <c r="BC23" i="24"/>
  <c r="BD23" i="24"/>
  <c r="BC83" i="24"/>
  <c r="BD83" i="24"/>
  <c r="BC97" i="24"/>
  <c r="BD97" i="24"/>
  <c r="BA70" i="25"/>
  <c r="BB70" i="25"/>
  <c r="BA83" i="25"/>
  <c r="BB83" i="25"/>
  <c r="BA49" i="25"/>
  <c r="BB49" i="25"/>
  <c r="BA48" i="25"/>
  <c r="BB48" i="25"/>
  <c r="BA35" i="25"/>
  <c r="BB35" i="25"/>
  <c r="BC35" i="24"/>
  <c r="BD35" i="24"/>
  <c r="BC89" i="24"/>
  <c r="BD89" i="24"/>
  <c r="BA82" i="25"/>
  <c r="BB82" i="25"/>
  <c r="BA44" i="25"/>
  <c r="BB44" i="25"/>
  <c r="BA30" i="25"/>
  <c r="BB30" i="25"/>
  <c r="BC32" i="24"/>
  <c r="BD32" i="24"/>
  <c r="BA81" i="25"/>
  <c r="BB81" i="25"/>
  <c r="BA56" i="25"/>
  <c r="BB56" i="25"/>
  <c r="BA87" i="25"/>
  <c r="BB87" i="25"/>
  <c r="BA36" i="25"/>
  <c r="BB36" i="25"/>
  <c r="BA38" i="25"/>
  <c r="BB38" i="25"/>
  <c r="BA76" i="25"/>
  <c r="BB76" i="25"/>
  <c r="BA27" i="25"/>
  <c r="BB27" i="25"/>
  <c r="BA54" i="25"/>
  <c r="BB54" i="25"/>
  <c r="BA15" i="25"/>
  <c r="BB15" i="25"/>
  <c r="BC65" i="24"/>
  <c r="BD65" i="24"/>
  <c r="BC21" i="24"/>
  <c r="BD21" i="24"/>
  <c r="BC72" i="24"/>
  <c r="BD72" i="24"/>
  <c r="BA24" i="25"/>
  <c r="BB24" i="25"/>
  <c r="BC51" i="24"/>
  <c r="BD51" i="24"/>
  <c r="BC40" i="24"/>
  <c r="BD40" i="24"/>
  <c r="BC63" i="24"/>
  <c r="BD63" i="24"/>
  <c r="BA62" i="25"/>
  <c r="BB62" i="25"/>
  <c r="BA42" i="25"/>
  <c r="BB42" i="25"/>
  <c r="BA41" i="25"/>
  <c r="BB41" i="25"/>
  <c r="BC53" i="24"/>
  <c r="BD53" i="24"/>
  <c r="BA67" i="25"/>
  <c r="BB67" i="25"/>
  <c r="BA96" i="25"/>
  <c r="BB96" i="25"/>
  <c r="BC96" i="24"/>
  <c r="BD96" i="24"/>
  <c r="BC19" i="24"/>
  <c r="BD19" i="24"/>
  <c r="BA63" i="25"/>
  <c r="BB63" i="25"/>
  <c r="BA93" i="25"/>
  <c r="BB93" i="25"/>
  <c r="BC18" i="24"/>
  <c r="BD18" i="24"/>
  <c r="BA102" i="25"/>
  <c r="BB102" i="25"/>
  <c r="BA37" i="25"/>
  <c r="BB37" i="25"/>
  <c r="BA40" i="25"/>
  <c r="BB40" i="25"/>
  <c r="BC100" i="24"/>
  <c r="BD100" i="24"/>
  <c r="BC31" i="24"/>
  <c r="BD31" i="24"/>
  <c r="BC28" i="24"/>
  <c r="BD28" i="24"/>
  <c r="BC74" i="24"/>
  <c r="BD74" i="24"/>
  <c r="BC42" i="24"/>
  <c r="BD42" i="24"/>
  <c r="BC54" i="24"/>
  <c r="BD54" i="24"/>
  <c r="BA8" i="25"/>
  <c r="BB8" i="25"/>
  <c r="BA103" i="25"/>
  <c r="BB103" i="25"/>
  <c r="BA28" i="25"/>
  <c r="BB28" i="25"/>
  <c r="BA9" i="25"/>
  <c r="BB9" i="25"/>
  <c r="BA22" i="25"/>
  <c r="BB22" i="25"/>
  <c r="BA51" i="25"/>
  <c r="BB51" i="25"/>
  <c r="BA91" i="25"/>
  <c r="BB91" i="25"/>
  <c r="BA31" i="25"/>
  <c r="BB31" i="25"/>
  <c r="BA104" i="25"/>
  <c r="BB104" i="25"/>
  <c r="BC27" i="24"/>
  <c r="BD27" i="24"/>
  <c r="BC64" i="24"/>
  <c r="BD64" i="24"/>
  <c r="BC33" i="24"/>
  <c r="BD33" i="24"/>
  <c r="BC29" i="24"/>
  <c r="BD29" i="24"/>
  <c r="BA101" i="25"/>
  <c r="BB101" i="25"/>
  <c r="BA64" i="25"/>
  <c r="BB64" i="25"/>
  <c r="BA17" i="25"/>
  <c r="BB17" i="25"/>
  <c r="BA6" i="25"/>
  <c r="BB6" i="25"/>
  <c r="BA61" i="25"/>
  <c r="BB61" i="25"/>
  <c r="BA69" i="25"/>
  <c r="BB69" i="25"/>
  <c r="BC86" i="24"/>
  <c r="BD86" i="24"/>
  <c r="BC73" i="24"/>
  <c r="BD73" i="24"/>
  <c r="BK43" i="24"/>
  <c r="AS43" i="24"/>
  <c r="AU43" i="24" s="1"/>
  <c r="BV80" i="24"/>
  <c r="CD80" i="24"/>
  <c r="BV39" i="24"/>
  <c r="CD39" i="24"/>
  <c r="BJ43" i="24"/>
  <c r="BL43" i="24"/>
  <c r="BV48" i="24"/>
  <c r="CD48" i="24"/>
  <c r="BV43" i="24"/>
  <c r="AQ43" i="24"/>
  <c r="BU43" i="24"/>
  <c r="BV61" i="24"/>
  <c r="CD61" i="24"/>
  <c r="BV62" i="24"/>
  <c r="CD62" i="24"/>
  <c r="AW270" i="24"/>
  <c r="BV52" i="24"/>
  <c r="CD52" i="24"/>
  <c r="AN212" i="24"/>
  <c r="AS212" i="24" s="1"/>
  <c r="AU212" i="24" s="1"/>
  <c r="AK212" i="24"/>
  <c r="BV75" i="24"/>
  <c r="CD75" i="24"/>
  <c r="AQ103" i="24"/>
  <c r="CD103" i="24"/>
  <c r="AW133" i="24"/>
  <c r="BF133" i="24" s="1"/>
  <c r="BL71" i="24"/>
  <c r="CD71" i="24"/>
  <c r="AZ50" i="24"/>
  <c r="AZ25" i="24"/>
  <c r="BV66" i="24"/>
  <c r="CD66" i="24"/>
  <c r="BV45" i="24"/>
  <c r="CD45" i="24"/>
  <c r="BV47" i="24"/>
  <c r="CD47" i="24"/>
  <c r="BV20" i="24"/>
  <c r="CD20" i="24"/>
  <c r="AW166" i="24"/>
  <c r="AY166" i="24" s="1"/>
  <c r="AZ166" i="24" s="1"/>
  <c r="BD179" i="25"/>
  <c r="BE179" i="25"/>
  <c r="BT179" i="25" s="1"/>
  <c r="BF179" i="25"/>
  <c r="BU179" i="25" s="1"/>
  <c r="BD147" i="25"/>
  <c r="BF147" i="25"/>
  <c r="BU147" i="25" s="1"/>
  <c r="BE147" i="25"/>
  <c r="BT147" i="25" s="1"/>
  <c r="BF166" i="25"/>
  <c r="BU166" i="25" s="1"/>
  <c r="BE166" i="25"/>
  <c r="BT166" i="25" s="1"/>
  <c r="BD166" i="25"/>
  <c r="BE124" i="25"/>
  <c r="BT124" i="25" s="1"/>
  <c r="BD124" i="25"/>
  <c r="BF124" i="25"/>
  <c r="BU124" i="25" s="1"/>
  <c r="BE140" i="25"/>
  <c r="BT140" i="25" s="1"/>
  <c r="BF140" i="25"/>
  <c r="BU140" i="25" s="1"/>
  <c r="BD140" i="25"/>
  <c r="BD200" i="25"/>
  <c r="BF200" i="25"/>
  <c r="BU200" i="25" s="1"/>
  <c r="BE200" i="25"/>
  <c r="BT200" i="25" s="1"/>
  <c r="BE129" i="25"/>
  <c r="BT129" i="25" s="1"/>
  <c r="BD129" i="25"/>
  <c r="BF129" i="25"/>
  <c r="BU129" i="25" s="1"/>
  <c r="BE182" i="25"/>
  <c r="BT182" i="25" s="1"/>
  <c r="BF182" i="25"/>
  <c r="BU182" i="25" s="1"/>
  <c r="BD182" i="25"/>
  <c r="BE176" i="25"/>
  <c r="BT176" i="25" s="1"/>
  <c r="BF176" i="25"/>
  <c r="BU176" i="25" s="1"/>
  <c r="BD176" i="25"/>
  <c r="BF149" i="25"/>
  <c r="BU149" i="25" s="1"/>
  <c r="BE149" i="25"/>
  <c r="BT149" i="25" s="1"/>
  <c r="BD149" i="25"/>
  <c r="BE185" i="25"/>
  <c r="BT185" i="25" s="1"/>
  <c r="BF185" i="25"/>
  <c r="BU185" i="25" s="1"/>
  <c r="BD185" i="25"/>
  <c r="BF128" i="25"/>
  <c r="BU128" i="25" s="1"/>
  <c r="BE128" i="25"/>
  <c r="BT128" i="25" s="1"/>
  <c r="BD128" i="25"/>
  <c r="BF116" i="25"/>
  <c r="BU116" i="25" s="1"/>
  <c r="BD116" i="25"/>
  <c r="BE116" i="25"/>
  <c r="BT116" i="25" s="1"/>
  <c r="BD172" i="25"/>
  <c r="BE172" i="25"/>
  <c r="BT172" i="25" s="1"/>
  <c r="BF172" i="25"/>
  <c r="BU172" i="25" s="1"/>
  <c r="BF151" i="25"/>
  <c r="BU151" i="25" s="1"/>
  <c r="BE151" i="25"/>
  <c r="BT151" i="25" s="1"/>
  <c r="BD151" i="25"/>
  <c r="BD125" i="25"/>
  <c r="BD208" i="25"/>
  <c r="BE208" i="25"/>
  <c r="BT208" i="25" s="1"/>
  <c r="BF208" i="25"/>
  <c r="BU208" i="25" s="1"/>
  <c r="BE141" i="25"/>
  <c r="BT141" i="25" s="1"/>
  <c r="BF141" i="25"/>
  <c r="BU141" i="25" s="1"/>
  <c r="BD141" i="25"/>
  <c r="BE134" i="25"/>
  <c r="BT134" i="25" s="1"/>
  <c r="BF134" i="25"/>
  <c r="BU134" i="25" s="1"/>
  <c r="BD134" i="25"/>
  <c r="BF162" i="25"/>
  <c r="BU162" i="25" s="1"/>
  <c r="BD162" i="25"/>
  <c r="BE162" i="25"/>
  <c r="BT162" i="25" s="1"/>
  <c r="BD130" i="25"/>
  <c r="BE130" i="25"/>
  <c r="BT130" i="25" s="1"/>
  <c r="BF130" i="25"/>
  <c r="BU130" i="25" s="1"/>
  <c r="BF173" i="25"/>
  <c r="BU173" i="25" s="1"/>
  <c r="BD173" i="25"/>
  <c r="BE173" i="25"/>
  <c r="BT173" i="25" s="1"/>
  <c r="BD143" i="25"/>
  <c r="BE143" i="25"/>
  <c r="BT143" i="25" s="1"/>
  <c r="BF143" i="25"/>
  <c r="BU143" i="25" s="1"/>
  <c r="BE187" i="25"/>
  <c r="BT187" i="25" s="1"/>
  <c r="BF187" i="25"/>
  <c r="BU187" i="25" s="1"/>
  <c r="BD187" i="25"/>
  <c r="BF127" i="25"/>
  <c r="BU127" i="25" s="1"/>
  <c r="BE127" i="25"/>
  <c r="BT127" i="25" s="1"/>
  <c r="BD127" i="25"/>
  <c r="BD135" i="25"/>
  <c r="BE135" i="25"/>
  <c r="BT135" i="25" s="1"/>
  <c r="BF135" i="25"/>
  <c r="BU135" i="25" s="1"/>
  <c r="BE167" i="25"/>
  <c r="BT167" i="25" s="1"/>
  <c r="BD167" i="25"/>
  <c r="BF167" i="25"/>
  <c r="BU167" i="25" s="1"/>
  <c r="BF123" i="25"/>
  <c r="BU123" i="25" s="1"/>
  <c r="BD123" i="25"/>
  <c r="BE123" i="25"/>
  <c r="BT123" i="25" s="1"/>
  <c r="BD207" i="25"/>
  <c r="BF207" i="25"/>
  <c r="BU207" i="25" s="1"/>
  <c r="BE207" i="25"/>
  <c r="BT207" i="25" s="1"/>
  <c r="BD203" i="25"/>
  <c r="BF203" i="25"/>
  <c r="BU203" i="25" s="1"/>
  <c r="BE203" i="25"/>
  <c r="BT203" i="25" s="1"/>
  <c r="BF169" i="25"/>
  <c r="BU169" i="25" s="1"/>
  <c r="BD169" i="25"/>
  <c r="BE169" i="25"/>
  <c r="BT169" i="25" s="1"/>
  <c r="BD142" i="25"/>
  <c r="BF142" i="25"/>
  <c r="BU142" i="25" s="1"/>
  <c r="BE142" i="25"/>
  <c r="BT142" i="25" s="1"/>
  <c r="BD168" i="25"/>
  <c r="BF168" i="25"/>
  <c r="BU168" i="25" s="1"/>
  <c r="BE168" i="25"/>
  <c r="BT168" i="25" s="1"/>
  <c r="BD177" i="25"/>
  <c r="BE177" i="25"/>
  <c r="BT177" i="25" s="1"/>
  <c r="BF177" i="25"/>
  <c r="BU177" i="25" s="1"/>
  <c r="BE158" i="25"/>
  <c r="BT158" i="25" s="1"/>
  <c r="BD158" i="25"/>
  <c r="BF158" i="25"/>
  <c r="BU158" i="25" s="1"/>
  <c r="BE164" i="25"/>
  <c r="BT164" i="25" s="1"/>
  <c r="BD164" i="25"/>
  <c r="BF164" i="25"/>
  <c r="BU164" i="25" s="1"/>
  <c r="BD183" i="25"/>
  <c r="BE183" i="25"/>
  <c r="BT183" i="25" s="1"/>
  <c r="BF183" i="25"/>
  <c r="BU183" i="25" s="1"/>
  <c r="BE145" i="25"/>
  <c r="BT145" i="25" s="1"/>
  <c r="BF145" i="25"/>
  <c r="BU145" i="25" s="1"/>
  <c r="BD145" i="25"/>
  <c r="BE113" i="25"/>
  <c r="BT113" i="25" s="1"/>
  <c r="BD113" i="25"/>
  <c r="BF113" i="25"/>
  <c r="BU113" i="25" s="1"/>
  <c r="BF156" i="25"/>
  <c r="BU156" i="25" s="1"/>
  <c r="BD156" i="25"/>
  <c r="BE156" i="25"/>
  <c r="BT156" i="25" s="1"/>
  <c r="BE197" i="25"/>
  <c r="BT197" i="25" s="1"/>
  <c r="BF197" i="25"/>
  <c r="BU197" i="25" s="1"/>
  <c r="BD197" i="25"/>
  <c r="BD119" i="25"/>
  <c r="BF119" i="25"/>
  <c r="BU119" i="25" s="1"/>
  <c r="BE119" i="25"/>
  <c r="BT119" i="25" s="1"/>
  <c r="BE163" i="25"/>
  <c r="BT163" i="25" s="1"/>
  <c r="BD163" i="25"/>
  <c r="BF163" i="25"/>
  <c r="BU163" i="25" s="1"/>
  <c r="BE150" i="25"/>
  <c r="BT150" i="25" s="1"/>
  <c r="BF150" i="25"/>
  <c r="BU150" i="25" s="1"/>
  <c r="BD150" i="25"/>
  <c r="BF186" i="25"/>
  <c r="BU186" i="25" s="1"/>
  <c r="BE186" i="25"/>
  <c r="BT186" i="25" s="1"/>
  <c r="BD186" i="25"/>
  <c r="BD206" i="25"/>
  <c r="BE206" i="25"/>
  <c r="BT206" i="25" s="1"/>
  <c r="BF206" i="25"/>
  <c r="BU206" i="25" s="1"/>
  <c r="BD202" i="25"/>
  <c r="BE202" i="25"/>
  <c r="BT202" i="25" s="1"/>
  <c r="BF202" i="25"/>
  <c r="BU202" i="25" s="1"/>
  <c r="BF111" i="25"/>
  <c r="BU111" i="25" s="1"/>
  <c r="BE111" i="25"/>
  <c r="BT111" i="25" s="1"/>
  <c r="BD111" i="25"/>
  <c r="BF201" i="25"/>
  <c r="BU201" i="25" s="1"/>
  <c r="BD201" i="25"/>
  <c r="BE201" i="25"/>
  <c r="BT201" i="25" s="1"/>
  <c r="BE180" i="25"/>
  <c r="BT180" i="25" s="1"/>
  <c r="BF180" i="25"/>
  <c r="BU180" i="25" s="1"/>
  <c r="BD180" i="25"/>
  <c r="BD199" i="25"/>
  <c r="BE199" i="25"/>
  <c r="BT199" i="25" s="1"/>
  <c r="BF199" i="25"/>
  <c r="BU199" i="25" s="1"/>
  <c r="BF209" i="25"/>
  <c r="BU209" i="25" s="1"/>
  <c r="BE209" i="25"/>
  <c r="BT209" i="25" s="1"/>
  <c r="BD209" i="25"/>
  <c r="BF171" i="25"/>
  <c r="BU171" i="25" s="1"/>
  <c r="BD171" i="25"/>
  <c r="BE171" i="25"/>
  <c r="BT171" i="25" s="1"/>
  <c r="BD120" i="25"/>
  <c r="BE120" i="25"/>
  <c r="BT120" i="25" s="1"/>
  <c r="BF120" i="25"/>
  <c r="BU120" i="25" s="1"/>
  <c r="BD170" i="25"/>
  <c r="BE170" i="25"/>
  <c r="BT170" i="25" s="1"/>
  <c r="BF170" i="25"/>
  <c r="BU170" i="25" s="1"/>
  <c r="BD204" i="25"/>
  <c r="BE204" i="25"/>
  <c r="BT204" i="25" s="1"/>
  <c r="BF204" i="25"/>
  <c r="BU204" i="25" s="1"/>
  <c r="BD192" i="25"/>
  <c r="BE192" i="25"/>
  <c r="BT192" i="25" s="1"/>
  <c r="BF192" i="25"/>
  <c r="BU192" i="25" s="1"/>
  <c r="BE161" i="25"/>
  <c r="BT161" i="25" s="1"/>
  <c r="BD161" i="25"/>
  <c r="BF161" i="25"/>
  <c r="BU161" i="25" s="1"/>
  <c r="BF114" i="25"/>
  <c r="BU114" i="25" s="1"/>
  <c r="BD114" i="25"/>
  <c r="BE114" i="25"/>
  <c r="BT114" i="25" s="1"/>
  <c r="BF139" i="25"/>
  <c r="BU139" i="25" s="1"/>
  <c r="BE139" i="25"/>
  <c r="BT139" i="25" s="1"/>
  <c r="BD139" i="25"/>
  <c r="BD152" i="25"/>
  <c r="BE152" i="25"/>
  <c r="BT152" i="25" s="1"/>
  <c r="BF152" i="25"/>
  <c r="BU152" i="25" s="1"/>
  <c r="BD159" i="25"/>
  <c r="BE159" i="25"/>
  <c r="BT159" i="25" s="1"/>
  <c r="BF159" i="25"/>
  <c r="BU159" i="25" s="1"/>
  <c r="BD198" i="25"/>
  <c r="BE198" i="25"/>
  <c r="BT198" i="25" s="1"/>
  <c r="BF198" i="25"/>
  <c r="BU198" i="25" s="1"/>
  <c r="BD174" i="25"/>
  <c r="BF174" i="25"/>
  <c r="BU174" i="25" s="1"/>
  <c r="BE174" i="25"/>
  <c r="BT174" i="25" s="1"/>
  <c r="BF196" i="25"/>
  <c r="BU196" i="25" s="1"/>
  <c r="BE196" i="25"/>
  <c r="BT196" i="25" s="1"/>
  <c r="BD196" i="25"/>
  <c r="BE195" i="25"/>
  <c r="BT195" i="25" s="1"/>
  <c r="BF195" i="25"/>
  <c r="BU195" i="25" s="1"/>
  <c r="BD195" i="25"/>
  <c r="BF126" i="25"/>
  <c r="BU126" i="25" s="1"/>
  <c r="BE126" i="25"/>
  <c r="BT126" i="25" s="1"/>
  <c r="BD126" i="25"/>
  <c r="BD188" i="25"/>
  <c r="BE188" i="25"/>
  <c r="BT188" i="25" s="1"/>
  <c r="BF188" i="25"/>
  <c r="BU188" i="25" s="1"/>
  <c r="BD133" i="25"/>
  <c r="BE133" i="25"/>
  <c r="BT133" i="25" s="1"/>
  <c r="BF133" i="25"/>
  <c r="BU133" i="25" s="1"/>
  <c r="BD118" i="25"/>
  <c r="BF118" i="25"/>
  <c r="BU118" i="25" s="1"/>
  <c r="BE118" i="25"/>
  <c r="BT118" i="25" s="1"/>
  <c r="BE153" i="25"/>
  <c r="BT153" i="25" s="1"/>
  <c r="BF153" i="25"/>
  <c r="BU153" i="25" s="1"/>
  <c r="BD153" i="25"/>
  <c r="BD190" i="25"/>
  <c r="BF190" i="25"/>
  <c r="BU190" i="25" s="1"/>
  <c r="BE190" i="25"/>
  <c r="BT190" i="25" s="1"/>
  <c r="BF154" i="25"/>
  <c r="BU154" i="25" s="1"/>
  <c r="BD154" i="25"/>
  <c r="BE154" i="25"/>
  <c r="BT154" i="25" s="1"/>
  <c r="BD146" i="25"/>
  <c r="BF146" i="25"/>
  <c r="BU146" i="25" s="1"/>
  <c r="BE146" i="25"/>
  <c r="BT146" i="25" s="1"/>
  <c r="BF117" i="25"/>
  <c r="BU117" i="25" s="1"/>
  <c r="BE117" i="25"/>
  <c r="BT117" i="25" s="1"/>
  <c r="BD117" i="25"/>
  <c r="BD157" i="25"/>
  <c r="BF157" i="25"/>
  <c r="BU157" i="25" s="1"/>
  <c r="BE157" i="25"/>
  <c r="BT157" i="25" s="1"/>
  <c r="BD193" i="25"/>
  <c r="BE193" i="25"/>
  <c r="BT193" i="25" s="1"/>
  <c r="BF193" i="25"/>
  <c r="BU193" i="25" s="1"/>
  <c r="BD137" i="25"/>
  <c r="BF137" i="25"/>
  <c r="BU137" i="25" s="1"/>
  <c r="BE137" i="25"/>
  <c r="BT137" i="25" s="1"/>
  <c r="BF165" i="25"/>
  <c r="BU165" i="25" s="1"/>
  <c r="BE165" i="25"/>
  <c r="BT165" i="25" s="1"/>
  <c r="BD165" i="25"/>
  <c r="BD155" i="25"/>
  <c r="BF155" i="25"/>
  <c r="BU155" i="25" s="1"/>
  <c r="BE155" i="25"/>
  <c r="BT155" i="25" s="1"/>
  <c r="BD132" i="25"/>
  <c r="BF132" i="25"/>
  <c r="BU132" i="25" s="1"/>
  <c r="BE132" i="25"/>
  <c r="BT132" i="25" s="1"/>
  <c r="BD131" i="25"/>
  <c r="BE131" i="25"/>
  <c r="BT131" i="25" s="1"/>
  <c r="BF131" i="25"/>
  <c r="BU131" i="25" s="1"/>
  <c r="BF138" i="25"/>
  <c r="BU138" i="25" s="1"/>
  <c r="BE138" i="25"/>
  <c r="BT138" i="25" s="1"/>
  <c r="BD138" i="25"/>
  <c r="BF189" i="25"/>
  <c r="BU189" i="25" s="1"/>
  <c r="BD189" i="25"/>
  <c r="BE189" i="25"/>
  <c r="BT189" i="25" s="1"/>
  <c r="BD181" i="25"/>
  <c r="BE181" i="25"/>
  <c r="BT181" i="25" s="1"/>
  <c r="BF181" i="25"/>
  <c r="BU181" i="25" s="1"/>
  <c r="BF144" i="25"/>
  <c r="BU144" i="25" s="1"/>
  <c r="BD144" i="25"/>
  <c r="BE144" i="25"/>
  <c r="BT144" i="25" s="1"/>
  <c r="BD205" i="25"/>
  <c r="BE205" i="25"/>
  <c r="BT205" i="25" s="1"/>
  <c r="BF205" i="25"/>
  <c r="BU205" i="25" s="1"/>
  <c r="BD160" i="25"/>
  <c r="BE160" i="25"/>
  <c r="BT160" i="25" s="1"/>
  <c r="BF160" i="25"/>
  <c r="BU160" i="25" s="1"/>
  <c r="BF112" i="25"/>
  <c r="BU112" i="25" s="1"/>
  <c r="BE112" i="25"/>
  <c r="BT112" i="25" s="1"/>
  <c r="BD112" i="25"/>
  <c r="BD178" i="25"/>
  <c r="BE178" i="25"/>
  <c r="BT178" i="25" s="1"/>
  <c r="BF178" i="25"/>
  <c r="BU178" i="25" s="1"/>
  <c r="BF115" i="25"/>
  <c r="BU115" i="25" s="1"/>
  <c r="BD115" i="25"/>
  <c r="BE115" i="25"/>
  <c r="BT115" i="25" s="1"/>
  <c r="BF122" i="25"/>
  <c r="BU122" i="25" s="1"/>
  <c r="BD122" i="25"/>
  <c r="BE122" i="25"/>
  <c r="BT122" i="25" s="1"/>
  <c r="BF194" i="25"/>
  <c r="BU194" i="25" s="1"/>
  <c r="BD194" i="25"/>
  <c r="BE194" i="25"/>
  <c r="BT194" i="25" s="1"/>
  <c r="BD121" i="25"/>
  <c r="BE121" i="25"/>
  <c r="BT121" i="25" s="1"/>
  <c r="BF121" i="25"/>
  <c r="BU121" i="25" s="1"/>
  <c r="BE136" i="25"/>
  <c r="BT136" i="25" s="1"/>
  <c r="BD136" i="25"/>
  <c r="BF136" i="25"/>
  <c r="BU136" i="25" s="1"/>
  <c r="BF148" i="25"/>
  <c r="BU148" i="25" s="1"/>
  <c r="BE148" i="25"/>
  <c r="BT148" i="25" s="1"/>
  <c r="BD148" i="25"/>
  <c r="BE175" i="25"/>
  <c r="BT175" i="25" s="1"/>
  <c r="BF175" i="25"/>
  <c r="BU175" i="25" s="1"/>
  <c r="BD175" i="25"/>
  <c r="BF191" i="25"/>
  <c r="BU191" i="25" s="1"/>
  <c r="BD191" i="25"/>
  <c r="BE191" i="25"/>
  <c r="BT191" i="25" s="1"/>
  <c r="AU122" i="24"/>
  <c r="AW167" i="24"/>
  <c r="BG167" i="24" s="1"/>
  <c r="BT167" i="24" s="1"/>
  <c r="AW115" i="24"/>
  <c r="BG115" i="24" s="1"/>
  <c r="BT115" i="24" s="1"/>
  <c r="AW165" i="24"/>
  <c r="BG165" i="24" s="1"/>
  <c r="BT165" i="24" s="1"/>
  <c r="BG120" i="24"/>
  <c r="BT120" i="24" s="1"/>
  <c r="BF120" i="24"/>
  <c r="AY120" i="24"/>
  <c r="AZ120" i="24" s="1"/>
  <c r="BG145" i="24"/>
  <c r="BT145" i="24" s="1"/>
  <c r="AY145" i="24"/>
  <c r="AZ145" i="24" s="1"/>
  <c r="BF145" i="24"/>
  <c r="BF154" i="24"/>
  <c r="BG154" i="24"/>
  <c r="BT154" i="24" s="1"/>
  <c r="AY154" i="24"/>
  <c r="AZ154" i="24" s="1"/>
  <c r="BF122" i="24"/>
  <c r="BG122" i="24"/>
  <c r="BT122" i="24" s="1"/>
  <c r="AY122" i="24"/>
  <c r="AZ122" i="24" s="1"/>
  <c r="BF116" i="24"/>
  <c r="AY116" i="24"/>
  <c r="AZ116" i="24" s="1"/>
  <c r="BG116" i="24"/>
  <c r="BT116" i="24" s="1"/>
  <c r="BF139" i="24"/>
  <c r="BG139" i="24"/>
  <c r="BT139" i="24" s="1"/>
  <c r="AY139" i="24"/>
  <c r="AZ139" i="24" s="1"/>
  <c r="BG175" i="24"/>
  <c r="BT175" i="24" s="1"/>
  <c r="AY175" i="24"/>
  <c r="AZ175" i="24" s="1"/>
  <c r="BF175" i="24"/>
  <c r="BG200" i="24"/>
  <c r="BT200" i="24" s="1"/>
  <c r="BF200" i="24"/>
  <c r="AY200" i="24"/>
  <c r="AZ200" i="24" s="1"/>
  <c r="BF183" i="24"/>
  <c r="AY183" i="24"/>
  <c r="AZ183" i="24" s="1"/>
  <c r="BG183" i="24"/>
  <c r="BT183" i="24" s="1"/>
  <c r="BF118" i="24"/>
  <c r="AY118" i="24"/>
  <c r="AZ118" i="24" s="1"/>
  <c r="BG118" i="24"/>
  <c r="BT118" i="24" s="1"/>
  <c r="AY124" i="24"/>
  <c r="AZ124" i="24" s="1"/>
  <c r="BG124" i="24"/>
  <c r="BT124" i="24" s="1"/>
  <c r="BF124" i="24"/>
  <c r="AY158" i="24"/>
  <c r="AZ158" i="24" s="1"/>
  <c r="BF158" i="24"/>
  <c r="BG158" i="24"/>
  <c r="BT158" i="24" s="1"/>
  <c r="BG151" i="24"/>
  <c r="BT151" i="24" s="1"/>
  <c r="AY151" i="24"/>
  <c r="AZ151" i="24" s="1"/>
  <c r="BF151" i="24"/>
  <c r="AY185" i="24"/>
  <c r="AZ185" i="24" s="1"/>
  <c r="BG185" i="24"/>
  <c r="BT185" i="24" s="1"/>
  <c r="BF185" i="24"/>
  <c r="BF131" i="24"/>
  <c r="AY131" i="24"/>
  <c r="AZ131" i="24" s="1"/>
  <c r="BG131" i="24"/>
  <c r="BT131" i="24" s="1"/>
  <c r="BF205" i="24"/>
  <c r="BG205" i="24"/>
  <c r="BT205" i="24" s="1"/>
  <c r="AY205" i="24"/>
  <c r="AZ205" i="24" s="1"/>
  <c r="BF204" i="24"/>
  <c r="BG204" i="24"/>
  <c r="BT204" i="24" s="1"/>
  <c r="AY204" i="24"/>
  <c r="AZ204" i="24" s="1"/>
  <c r="BG132" i="24"/>
  <c r="BT132" i="24" s="1"/>
  <c r="BF132" i="24"/>
  <c r="AY132" i="24"/>
  <c r="AZ132" i="24" s="1"/>
  <c r="BG135" i="24"/>
  <c r="BT135" i="24" s="1"/>
  <c r="BF135" i="24"/>
  <c r="AY135" i="24"/>
  <c r="AZ135" i="24" s="1"/>
  <c r="BF207" i="24"/>
  <c r="BG207" i="24"/>
  <c r="BT207" i="24" s="1"/>
  <c r="AY207" i="24"/>
  <c r="AZ207" i="24" s="1"/>
  <c r="BF163" i="24"/>
  <c r="AY163" i="24"/>
  <c r="AZ163" i="24" s="1"/>
  <c r="BG163" i="24"/>
  <c r="BT163" i="24" s="1"/>
  <c r="BF184" i="24"/>
  <c r="AY184" i="24"/>
  <c r="AZ184" i="24" s="1"/>
  <c r="BG184" i="24"/>
  <c r="BT184" i="24" s="1"/>
  <c r="BF162" i="24"/>
  <c r="BG162" i="24"/>
  <c r="BT162" i="24" s="1"/>
  <c r="AY162" i="24"/>
  <c r="AZ162" i="24" s="1"/>
  <c r="BF117" i="24"/>
  <c r="AY117" i="24"/>
  <c r="AZ117" i="24" s="1"/>
  <c r="BG117" i="24"/>
  <c r="BT117" i="24" s="1"/>
  <c r="BF128" i="24"/>
  <c r="AY128" i="24"/>
  <c r="AZ128" i="24" s="1"/>
  <c r="BG128" i="24"/>
  <c r="BT128" i="24" s="1"/>
  <c r="BG164" i="24"/>
  <c r="BT164" i="24" s="1"/>
  <c r="BF164" i="24"/>
  <c r="AY164" i="24"/>
  <c r="AZ164" i="24" s="1"/>
  <c r="AY179" i="24"/>
  <c r="AZ179" i="24" s="1"/>
  <c r="BF179" i="24"/>
  <c r="BG179" i="24"/>
  <c r="BT179" i="24" s="1"/>
  <c r="BF138" i="24"/>
  <c r="BG138" i="24"/>
  <c r="BT138" i="24" s="1"/>
  <c r="AY138" i="24"/>
  <c r="AZ138" i="24" s="1"/>
  <c r="BF148" i="24"/>
  <c r="AY148" i="24"/>
  <c r="AZ148" i="24" s="1"/>
  <c r="BG148" i="24"/>
  <c r="BT148" i="24" s="1"/>
  <c r="BF111" i="24"/>
  <c r="BG111" i="24"/>
  <c r="BT111" i="24" s="1"/>
  <c r="AY111" i="24"/>
  <c r="AZ111" i="24" s="1"/>
  <c r="BG143" i="24"/>
  <c r="BT143" i="24" s="1"/>
  <c r="BF143" i="24"/>
  <c r="AY143" i="24"/>
  <c r="AZ143" i="24" s="1"/>
  <c r="AY160" i="24"/>
  <c r="AZ160" i="24" s="1"/>
  <c r="BG160" i="24"/>
  <c r="BT160" i="24" s="1"/>
  <c r="BF160" i="24"/>
  <c r="BG153" i="24"/>
  <c r="BT153" i="24" s="1"/>
  <c r="BF153" i="24"/>
  <c r="AY153" i="24"/>
  <c r="AZ153" i="24" s="1"/>
  <c r="AY177" i="24"/>
  <c r="AZ177" i="24" s="1"/>
  <c r="BG177" i="24"/>
  <c r="BT177" i="24" s="1"/>
  <c r="BF177" i="24"/>
  <c r="AY142" i="24"/>
  <c r="AZ142" i="24" s="1"/>
  <c r="BF142" i="24"/>
  <c r="BG142" i="24"/>
  <c r="BT142" i="24" s="1"/>
  <c r="BF178" i="24"/>
  <c r="AY178" i="24"/>
  <c r="AZ178" i="24" s="1"/>
  <c r="BG178" i="24"/>
  <c r="BT178" i="24" s="1"/>
  <c r="BG171" i="24"/>
  <c r="BT171" i="24" s="1"/>
  <c r="BF171" i="24"/>
  <c r="AY171" i="24"/>
  <c r="AZ171" i="24" s="1"/>
  <c r="BG121" i="24"/>
  <c r="BT121" i="24" s="1"/>
  <c r="AY121" i="24"/>
  <c r="AZ121" i="24" s="1"/>
  <c r="BF121" i="24"/>
  <c r="AY180" i="24"/>
  <c r="AZ180" i="24" s="1"/>
  <c r="BG180" i="24"/>
  <c r="BT180" i="24" s="1"/>
  <c r="BF180" i="24"/>
  <c r="AY187" i="24"/>
  <c r="AZ187" i="24" s="1"/>
  <c r="BG187" i="24"/>
  <c r="BT187" i="24" s="1"/>
  <c r="BF187" i="24"/>
  <c r="AY197" i="24"/>
  <c r="AZ197" i="24" s="1"/>
  <c r="BF197" i="24"/>
  <c r="BG197" i="24"/>
  <c r="BT197" i="24" s="1"/>
  <c r="AY190" i="24"/>
  <c r="AZ190" i="24" s="1"/>
  <c r="BF190" i="24"/>
  <c r="BG190" i="24"/>
  <c r="BT190" i="24" s="1"/>
  <c r="AY137" i="24"/>
  <c r="AZ137" i="24" s="1"/>
  <c r="BG137" i="24"/>
  <c r="BT137" i="24" s="1"/>
  <c r="BF137" i="24"/>
  <c r="BF173" i="24"/>
  <c r="BG173" i="24"/>
  <c r="BT173" i="24" s="1"/>
  <c r="AY173" i="24"/>
  <c r="AZ173" i="24" s="1"/>
  <c r="BF125" i="24"/>
  <c r="BG125" i="24"/>
  <c r="BT125" i="24" s="1"/>
  <c r="AY125" i="24"/>
  <c r="AZ125" i="24" s="1"/>
  <c r="BG113" i="24"/>
  <c r="BT113" i="24" s="1"/>
  <c r="AY113" i="24"/>
  <c r="AZ113" i="24" s="1"/>
  <c r="BF113" i="24"/>
  <c r="BF129" i="24"/>
  <c r="BG129" i="24"/>
  <c r="BT129" i="24" s="1"/>
  <c r="AY129" i="24"/>
  <c r="AZ129" i="24" s="1"/>
  <c r="BF201" i="24"/>
  <c r="AY201" i="24"/>
  <c r="AZ201" i="24" s="1"/>
  <c r="BG201" i="24"/>
  <c r="BT201" i="24" s="1"/>
  <c r="BG186" i="24"/>
  <c r="BT186" i="24" s="1"/>
  <c r="AY186" i="24"/>
  <c r="AZ186" i="24" s="1"/>
  <c r="BF186" i="24"/>
  <c r="BF147" i="24"/>
  <c r="AY147" i="24"/>
  <c r="AZ147" i="24" s="1"/>
  <c r="BG147" i="24"/>
  <c r="BT147" i="24" s="1"/>
  <c r="BG152" i="24"/>
  <c r="BT152" i="24" s="1"/>
  <c r="BF152" i="24"/>
  <c r="AY152" i="24"/>
  <c r="AZ152" i="24" s="1"/>
  <c r="BF126" i="24"/>
  <c r="BG126" i="24"/>
  <c r="BT126" i="24" s="1"/>
  <c r="AY126" i="24"/>
  <c r="AZ126" i="24" s="1"/>
  <c r="BG127" i="24"/>
  <c r="BT127" i="24" s="1"/>
  <c r="AY127" i="24"/>
  <c r="AZ127" i="24" s="1"/>
  <c r="BF127" i="24"/>
  <c r="BG140" i="24"/>
  <c r="BT140" i="24" s="1"/>
  <c r="BF140" i="24"/>
  <c r="AY140" i="24"/>
  <c r="AZ140" i="24" s="1"/>
  <c r="BF144" i="24"/>
  <c r="AY144" i="24"/>
  <c r="AZ144" i="24" s="1"/>
  <c r="BG144" i="24"/>
  <c r="BT144" i="24" s="1"/>
  <c r="BG202" i="24"/>
  <c r="BT202" i="24" s="1"/>
  <c r="AY202" i="24"/>
  <c r="AZ202" i="24" s="1"/>
  <c r="BF202" i="24"/>
  <c r="BF196" i="24"/>
  <c r="AY196" i="24"/>
  <c r="AZ196" i="24" s="1"/>
  <c r="BG196" i="24"/>
  <c r="BT196" i="24" s="1"/>
  <c r="AY157" i="24"/>
  <c r="AZ157" i="24" s="1"/>
  <c r="BG157" i="24"/>
  <c r="BT157" i="24" s="1"/>
  <c r="BF157" i="24"/>
  <c r="AY174" i="24"/>
  <c r="AZ174" i="24" s="1"/>
  <c r="BF174" i="24"/>
  <c r="BG174" i="24"/>
  <c r="BT174" i="24" s="1"/>
  <c r="BG198" i="24"/>
  <c r="BT198" i="24" s="1"/>
  <c r="AY198" i="24"/>
  <c r="AZ198" i="24" s="1"/>
  <c r="BF198" i="24"/>
  <c r="BF150" i="24"/>
  <c r="AY150" i="24"/>
  <c r="AZ150" i="24" s="1"/>
  <c r="BG150" i="24"/>
  <c r="BT150" i="24" s="1"/>
  <c r="BG170" i="24"/>
  <c r="BT170" i="24" s="1"/>
  <c r="AY170" i="24"/>
  <c r="AZ170" i="24" s="1"/>
  <c r="BF170" i="24"/>
  <c r="BF146" i="24"/>
  <c r="BG146" i="24"/>
  <c r="BT146" i="24" s="1"/>
  <c r="AY146" i="24"/>
  <c r="AZ146" i="24" s="1"/>
  <c r="BV58" i="24"/>
  <c r="CD58" i="24"/>
  <c r="BD58" i="25"/>
  <c r="BS58" i="25" s="1"/>
  <c r="BE58" i="25"/>
  <c r="BT58" i="25" s="1"/>
  <c r="AZ69" i="24"/>
  <c r="AZ95" i="24"/>
  <c r="AU152" i="24"/>
  <c r="AZ91" i="24"/>
  <c r="AZ78" i="24"/>
  <c r="AX15" i="24"/>
  <c r="BV15" i="24"/>
  <c r="AX88" i="24"/>
  <c r="BV88" i="24"/>
  <c r="BV67" i="24"/>
  <c r="BV103" i="24"/>
  <c r="BV90" i="24"/>
  <c r="BV94" i="24"/>
  <c r="AZ87" i="24"/>
  <c r="AZ105" i="24"/>
  <c r="BV9" i="24"/>
  <c r="AQ99" i="24"/>
  <c r="BV99" i="24"/>
  <c r="AQ102" i="24"/>
  <c r="BV102" i="24"/>
  <c r="AQ13" i="24"/>
  <c r="BV13" i="24"/>
  <c r="BV71" i="24"/>
  <c r="BV93" i="24"/>
  <c r="CD6" i="24"/>
  <c r="BV6" i="24"/>
  <c r="BV77" i="24"/>
  <c r="AU279" i="24"/>
  <c r="AU78" i="24"/>
  <c r="AU218" i="24"/>
  <c r="AW306" i="24"/>
  <c r="AW182" i="24"/>
  <c r="AU70" i="24"/>
  <c r="AW193" i="24"/>
  <c r="AZ70" i="24"/>
  <c r="AX49" i="24"/>
  <c r="CD49" i="24"/>
  <c r="AW203" i="24"/>
  <c r="AW261" i="24"/>
  <c r="AU132" i="24"/>
  <c r="AZ60" i="24"/>
  <c r="AW239" i="24"/>
  <c r="AW290" i="24"/>
  <c r="AU128" i="24"/>
  <c r="AW191" i="24"/>
  <c r="AW73" i="24"/>
  <c r="AY73" i="24" s="1"/>
  <c r="AZ73" i="24" s="1"/>
  <c r="AW33" i="24"/>
  <c r="AY33" i="24" s="1"/>
  <c r="AZ33" i="24" s="1"/>
  <c r="AW176" i="24"/>
  <c r="AW159" i="24"/>
  <c r="AU256" i="24"/>
  <c r="AW114" i="24"/>
  <c r="AW243" i="24"/>
  <c r="AU227" i="24"/>
  <c r="AW312" i="24"/>
  <c r="AW292" i="24"/>
  <c r="AW313" i="24"/>
  <c r="AU204" i="24"/>
  <c r="AW189" i="24"/>
  <c r="AW226" i="24"/>
  <c r="AW209" i="24"/>
  <c r="AU147" i="24"/>
  <c r="AU146" i="24"/>
  <c r="AU81" i="24"/>
  <c r="AZ55" i="24"/>
  <c r="AW181" i="24"/>
  <c r="AW130" i="24"/>
  <c r="AU55" i="24"/>
  <c r="AW296" i="24"/>
  <c r="AU170" i="24"/>
  <c r="AQ98" i="24"/>
  <c r="CD98" i="24"/>
  <c r="AU25" i="24"/>
  <c r="AW206" i="24"/>
  <c r="AW168" i="24"/>
  <c r="AW266" i="24"/>
  <c r="AU309" i="24"/>
  <c r="AW188" i="24"/>
  <c r="AU150" i="24"/>
  <c r="AU198" i="24"/>
  <c r="AW195" i="24"/>
  <c r="AW156" i="24"/>
  <c r="AW285" i="24"/>
  <c r="AW233" i="24"/>
  <c r="AW307" i="24"/>
  <c r="AU162" i="24"/>
  <c r="AW112" i="24"/>
  <c r="AU117" i="24"/>
  <c r="AU10" i="24"/>
  <c r="AU174" i="24"/>
  <c r="AW199" i="24"/>
  <c r="BF104" i="24"/>
  <c r="BI104" i="24" s="1"/>
  <c r="BN104" i="24" s="1"/>
  <c r="AZ10" i="24"/>
  <c r="AW136" i="24"/>
  <c r="AW51" i="24"/>
  <c r="AY51" i="24" s="1"/>
  <c r="AZ51" i="24" s="1"/>
  <c r="AU205" i="24"/>
  <c r="AU60" i="24"/>
  <c r="AW123" i="24"/>
  <c r="AU184" i="24"/>
  <c r="AU163" i="24"/>
  <c r="AW208" i="24"/>
  <c r="AW119" i="24"/>
  <c r="AZ101" i="24"/>
  <c r="AW110" i="24"/>
  <c r="AU196" i="24"/>
  <c r="AU95" i="24"/>
  <c r="AW141" i="24"/>
  <c r="AU157" i="24"/>
  <c r="AW86" i="24"/>
  <c r="AY86" i="24" s="1"/>
  <c r="AZ86" i="24" s="1"/>
  <c r="AW149" i="24"/>
  <c r="AU186" i="24"/>
  <c r="AZ41" i="24"/>
  <c r="AU101" i="24"/>
  <c r="AW23" i="24"/>
  <c r="AY23" i="24" s="1"/>
  <c r="AZ23" i="24" s="1"/>
  <c r="AW194" i="24"/>
  <c r="AW192" i="24"/>
  <c r="AU131" i="24"/>
  <c r="AU41" i="24"/>
  <c r="AU105" i="24"/>
  <c r="AW97" i="24"/>
  <c r="AY97" i="24" s="1"/>
  <c r="AZ97" i="24" s="1"/>
  <c r="AW210" i="24"/>
  <c r="AW172" i="24"/>
  <c r="AW161" i="24"/>
  <c r="AW64" i="24"/>
  <c r="AY64" i="24" s="1"/>
  <c r="AZ64" i="24" s="1"/>
  <c r="BG104" i="24"/>
  <c r="BT104" i="24" s="1"/>
  <c r="AU14" i="24"/>
  <c r="AW27" i="24"/>
  <c r="AY27" i="24" s="1"/>
  <c r="AZ27" i="24" s="1"/>
  <c r="AQ88" i="24"/>
  <c r="AU207" i="24"/>
  <c r="AZ14" i="24"/>
  <c r="AW155" i="24"/>
  <c r="BL49" i="24"/>
  <c r="AS49" i="24"/>
  <c r="AW49" i="24" s="1"/>
  <c r="AY49" i="24" s="1"/>
  <c r="BL88" i="24"/>
  <c r="BU88" i="24"/>
  <c r="AU50" i="24"/>
  <c r="BJ88" i="24"/>
  <c r="AS88" i="24"/>
  <c r="AW88" i="24" s="1"/>
  <c r="AY88" i="24" s="1"/>
  <c r="BK88" i="24"/>
  <c r="AW169" i="24"/>
  <c r="AU91" i="24"/>
  <c r="AQ49" i="24"/>
  <c r="BU13" i="24"/>
  <c r="AW134" i="24"/>
  <c r="BJ49" i="24"/>
  <c r="AW65" i="24"/>
  <c r="AY65" i="24" s="1"/>
  <c r="AZ65" i="24" s="1"/>
  <c r="AU110" i="25"/>
  <c r="AS71" i="24"/>
  <c r="BU71" i="24"/>
  <c r="AU87" i="24"/>
  <c r="AW35" i="24"/>
  <c r="AY35" i="24" s="1"/>
  <c r="AZ35" i="24" s="1"/>
  <c r="BK49" i="24"/>
  <c r="BK71" i="24"/>
  <c r="BJ71" i="24"/>
  <c r="AW81" i="24"/>
  <c r="AY81" i="24" s="1"/>
  <c r="AZ81" i="24" s="1"/>
  <c r="BU49" i="24"/>
  <c r="AX71" i="24"/>
  <c r="AQ71" i="24"/>
  <c r="AW22" i="24"/>
  <c r="AY22" i="24" s="1"/>
  <c r="AZ22" i="24" s="1"/>
  <c r="AX13" i="24"/>
  <c r="AS13" i="24"/>
  <c r="BJ13" i="24"/>
  <c r="BL13" i="24"/>
  <c r="BF34" i="24"/>
  <c r="BI34" i="24" s="1"/>
  <c r="BN34" i="24" s="1"/>
  <c r="AS15" i="24"/>
  <c r="BL15" i="24"/>
  <c r="BK15" i="24"/>
  <c r="AU34" i="24"/>
  <c r="BG34" i="24"/>
  <c r="BT34" i="24" s="1"/>
  <c r="BF69" i="24"/>
  <c r="BS69" i="24" s="1"/>
  <c r="BS5" i="24"/>
  <c r="BW5" i="24" s="1"/>
  <c r="BG69" i="24"/>
  <c r="BT69" i="24" s="1"/>
  <c r="AU69" i="24"/>
  <c r="BJ15" i="24"/>
  <c r="BU15" i="24"/>
  <c r="AQ15" i="24"/>
  <c r="AU22" i="24"/>
  <c r="BK102" i="24"/>
  <c r="AS102" i="24"/>
  <c r="BJ102" i="24"/>
  <c r="AX102" i="24"/>
  <c r="BL102" i="24"/>
  <c r="BU102" i="24"/>
  <c r="BJ48" i="24"/>
  <c r="AX48" i="24"/>
  <c r="BK48" i="24"/>
  <c r="AQ48" i="24"/>
  <c r="BU48" i="24"/>
  <c r="BL48" i="24"/>
  <c r="AS48" i="24"/>
  <c r="AX93" i="24"/>
  <c r="BK93" i="24"/>
  <c r="AS93" i="24"/>
  <c r="BJ93" i="24"/>
  <c r="BL93" i="24"/>
  <c r="AQ93" i="24"/>
  <c r="BU93" i="24"/>
  <c r="AX8" i="24"/>
  <c r="BL8" i="24"/>
  <c r="AQ8" i="24"/>
  <c r="BK8" i="24"/>
  <c r="AS8" i="24"/>
  <c r="BJ8" i="24"/>
  <c r="BU8" i="24"/>
  <c r="AX37" i="24"/>
  <c r="BK37" i="24"/>
  <c r="AS37" i="24"/>
  <c r="BL37" i="24"/>
  <c r="AQ37" i="24"/>
  <c r="BU37" i="24"/>
  <c r="BJ37" i="24"/>
  <c r="BU94" i="24"/>
  <c r="AX94" i="24"/>
  <c r="AQ94" i="24"/>
  <c r="BJ94" i="24"/>
  <c r="BL94" i="24"/>
  <c r="AS94" i="24"/>
  <c r="BK94" i="24"/>
  <c r="BJ16" i="24"/>
  <c r="BU16" i="24"/>
  <c r="BL16" i="24"/>
  <c r="AQ16" i="24"/>
  <c r="AS16" i="24"/>
  <c r="BK16" i="24"/>
  <c r="AX16" i="24"/>
  <c r="BJ75" i="24"/>
  <c r="BL75" i="24"/>
  <c r="AQ75" i="24"/>
  <c r="AS75" i="24"/>
  <c r="AX75" i="24"/>
  <c r="BK75" i="24"/>
  <c r="BU75" i="24"/>
  <c r="BJ57" i="24"/>
  <c r="BK57" i="24"/>
  <c r="BU57" i="24"/>
  <c r="AS57" i="24"/>
  <c r="AQ57" i="24"/>
  <c r="BL57" i="24"/>
  <c r="AX57" i="24"/>
  <c r="BL47" i="24"/>
  <c r="AQ47" i="24"/>
  <c r="BK47" i="24"/>
  <c r="AX47" i="24"/>
  <c r="BJ47" i="24"/>
  <c r="BU47" i="24"/>
  <c r="AS47" i="24"/>
  <c r="AX99" i="24"/>
  <c r="BJ99" i="24"/>
  <c r="AS99" i="24"/>
  <c r="BU99" i="24"/>
  <c r="BL99" i="24"/>
  <c r="BK99" i="24"/>
  <c r="AX103" i="24"/>
  <c r="AS103" i="24"/>
  <c r="BJ103" i="24"/>
  <c r="BK103" i="24"/>
  <c r="BL103" i="24"/>
  <c r="BU103" i="24"/>
  <c r="BU98" i="24"/>
  <c r="BJ98" i="24"/>
  <c r="BK98" i="24"/>
  <c r="AX98" i="24"/>
  <c r="AS98" i="24"/>
  <c r="BL98" i="24"/>
  <c r="BJ45" i="24"/>
  <c r="AS45" i="24"/>
  <c r="AX45" i="24"/>
  <c r="BU45" i="24"/>
  <c r="BL45" i="24"/>
  <c r="BK45" i="24"/>
  <c r="AQ45" i="24"/>
  <c r="BJ24" i="24"/>
  <c r="BL24" i="24"/>
  <c r="AS24" i="24"/>
  <c r="AX24" i="24"/>
  <c r="AQ24" i="24"/>
  <c r="BU24" i="24"/>
  <c r="BK24" i="24"/>
  <c r="AX58" i="24"/>
  <c r="AS58" i="24"/>
  <c r="BJ58" i="24"/>
  <c r="AQ58" i="24"/>
  <c r="BK58" i="24"/>
  <c r="BL58" i="24"/>
  <c r="BU58" i="24"/>
  <c r="AX84" i="24"/>
  <c r="AQ84" i="24"/>
  <c r="BJ84" i="24"/>
  <c r="BL84" i="24"/>
  <c r="BU84" i="24"/>
  <c r="BK84" i="24"/>
  <c r="AS84" i="24"/>
  <c r="BJ12" i="24"/>
  <c r="BL12" i="24"/>
  <c r="AS12" i="24"/>
  <c r="AX12" i="24"/>
  <c r="BU12" i="24"/>
  <c r="AQ12" i="24"/>
  <c r="BK12" i="24"/>
  <c r="AX38" i="24"/>
  <c r="BK38" i="24"/>
  <c r="AS38" i="24"/>
  <c r="BU38" i="24"/>
  <c r="BL38" i="24"/>
  <c r="AQ38" i="24"/>
  <c r="BJ38" i="24"/>
  <c r="AX9" i="24"/>
  <c r="AS9" i="24"/>
  <c r="BK9" i="24"/>
  <c r="AQ9" i="24"/>
  <c r="BL9" i="24"/>
  <c r="AX67" i="24"/>
  <c r="BJ67" i="24"/>
  <c r="BK67" i="24"/>
  <c r="AS67" i="24"/>
  <c r="BU67" i="24"/>
  <c r="BL67" i="24"/>
  <c r="AQ67" i="24"/>
  <c r="BU80" i="24"/>
  <c r="BJ80" i="24"/>
  <c r="BK80" i="24"/>
  <c r="AS80" i="24"/>
  <c r="AQ80" i="24"/>
  <c r="AX80" i="24"/>
  <c r="BL80" i="24"/>
  <c r="AX26" i="24"/>
  <c r="BU26" i="24"/>
  <c r="BL26" i="24"/>
  <c r="BK26" i="24"/>
  <c r="AQ26" i="24"/>
  <c r="BJ26" i="24"/>
  <c r="AS26" i="24"/>
  <c r="BJ44" i="24"/>
  <c r="BL44" i="24"/>
  <c r="BU44" i="24"/>
  <c r="BK44" i="24"/>
  <c r="AS44" i="24"/>
  <c r="AX44" i="24"/>
  <c r="AQ44" i="24"/>
  <c r="AX77" i="24"/>
  <c r="BL77" i="24"/>
  <c r="AQ77" i="24"/>
  <c r="BJ77" i="24"/>
  <c r="BU77" i="24"/>
  <c r="BK77" i="24"/>
  <c r="AS77" i="24"/>
  <c r="AX39" i="24"/>
  <c r="AS39" i="24"/>
  <c r="BL39" i="24"/>
  <c r="BJ39" i="24"/>
  <c r="BU39" i="24"/>
  <c r="BK39" i="24"/>
  <c r="AQ39" i="24"/>
  <c r="AX52" i="24"/>
  <c r="BJ52" i="24"/>
  <c r="BL52" i="24"/>
  <c r="AQ52" i="24"/>
  <c r="BU52" i="24"/>
  <c r="BK52" i="24"/>
  <c r="AS52" i="24"/>
  <c r="BU90" i="24"/>
  <c r="BL90" i="24"/>
  <c r="AX90" i="24"/>
  <c r="AS90" i="24"/>
  <c r="BK90" i="24"/>
  <c r="AQ90" i="24"/>
  <c r="BJ90" i="24"/>
  <c r="BJ30" i="24"/>
  <c r="AS30" i="24"/>
  <c r="BU30" i="24"/>
  <c r="BK30" i="24"/>
  <c r="BL30" i="24"/>
  <c r="AX30" i="24"/>
  <c r="AQ30" i="24"/>
  <c r="AX62" i="24"/>
  <c r="BJ62" i="24"/>
  <c r="AS62" i="24"/>
  <c r="BU62" i="24"/>
  <c r="BL62" i="24"/>
  <c r="BK62" i="24"/>
  <c r="AQ62" i="24"/>
  <c r="AX11" i="24"/>
  <c r="AS11" i="24"/>
  <c r="BK11" i="24"/>
  <c r="BL11" i="24"/>
  <c r="BU11" i="24"/>
  <c r="AQ11" i="24"/>
  <c r="BJ11" i="24"/>
  <c r="BJ76" i="24"/>
  <c r="BK76" i="24"/>
  <c r="AS76" i="24"/>
  <c r="BU76" i="24"/>
  <c r="AQ76" i="24"/>
  <c r="AX76" i="24"/>
  <c r="BL76" i="24"/>
  <c r="BJ9" i="24"/>
  <c r="AX17" i="24"/>
  <c r="BU17" i="24"/>
  <c r="BK17" i="24"/>
  <c r="BL17" i="24"/>
  <c r="BJ17" i="24"/>
  <c r="AQ17" i="24"/>
  <c r="AS17" i="24"/>
  <c r="AS20" i="24"/>
  <c r="BU20" i="24"/>
  <c r="BL20" i="24"/>
  <c r="BJ20" i="24"/>
  <c r="BK20" i="24"/>
  <c r="AQ20" i="24"/>
  <c r="AX20" i="24"/>
  <c r="BJ66" i="24"/>
  <c r="BK66" i="24"/>
  <c r="AS66" i="24"/>
  <c r="BU66" i="24"/>
  <c r="AX66" i="24"/>
  <c r="BL66" i="24"/>
  <c r="AQ66" i="24"/>
  <c r="AX61" i="24"/>
  <c r="BU61" i="24"/>
  <c r="AS61" i="24"/>
  <c r="BJ61" i="24"/>
  <c r="BK61" i="24"/>
  <c r="AQ61" i="24"/>
  <c r="BL61" i="24"/>
  <c r="BK7" i="24"/>
  <c r="AQ7" i="24"/>
  <c r="AX7" i="24"/>
  <c r="BL7" i="24"/>
  <c r="AS7" i="24"/>
  <c r="BJ7" i="24"/>
  <c r="BU7" i="24"/>
  <c r="AX6" i="24"/>
  <c r="BK6" i="24"/>
  <c r="AS6" i="24"/>
  <c r="BU6" i="24"/>
  <c r="BJ6" i="24"/>
  <c r="AQ6" i="24"/>
  <c r="BL6" i="24"/>
  <c r="BG40" i="24"/>
  <c r="BT40" i="24" s="1"/>
  <c r="BE8" i="25"/>
  <c r="BF8" i="25"/>
  <c r="BU8" i="25" s="1"/>
  <c r="BE82" i="25"/>
  <c r="BF82" i="25"/>
  <c r="BU82" i="25" s="1"/>
  <c r="BE74" i="25"/>
  <c r="BF74" i="25"/>
  <c r="BU74" i="25" s="1"/>
  <c r="BE45" i="25"/>
  <c r="BF45" i="25"/>
  <c r="BU45" i="25" s="1"/>
  <c r="BE62" i="25"/>
  <c r="BF62" i="25"/>
  <c r="BU62" i="25" s="1"/>
  <c r="BE103" i="25"/>
  <c r="BF103" i="25"/>
  <c r="BU103" i="25" s="1"/>
  <c r="BF44" i="25"/>
  <c r="BU44" i="25" s="1"/>
  <c r="BE44" i="25"/>
  <c r="BF28" i="25"/>
  <c r="BU28" i="25" s="1"/>
  <c r="BE28" i="25"/>
  <c r="BE7" i="25"/>
  <c r="BF7" i="25"/>
  <c r="BU7" i="25" s="1"/>
  <c r="BE101" i="25"/>
  <c r="BF101" i="25"/>
  <c r="BU101" i="25" s="1"/>
  <c r="BE46" i="25"/>
  <c r="BF46" i="25"/>
  <c r="BU46" i="25" s="1"/>
  <c r="BE9" i="25"/>
  <c r="BF9" i="25"/>
  <c r="BU9" i="25" s="1"/>
  <c r="BF78" i="25"/>
  <c r="BU78" i="25" s="1"/>
  <c r="BE78" i="25"/>
  <c r="BE22" i="25"/>
  <c r="BF22" i="25"/>
  <c r="BU22" i="25" s="1"/>
  <c r="BE67" i="25"/>
  <c r="BF67" i="25"/>
  <c r="BU67" i="25" s="1"/>
  <c r="BE51" i="25"/>
  <c r="BF51" i="25"/>
  <c r="BU51" i="25" s="1"/>
  <c r="BE77" i="25"/>
  <c r="BF77" i="25"/>
  <c r="BU77" i="25" s="1"/>
  <c r="BE10" i="25"/>
  <c r="BF10" i="25"/>
  <c r="BU10" i="25" s="1"/>
  <c r="BE30" i="25"/>
  <c r="BF30" i="25"/>
  <c r="BU30" i="25" s="1"/>
  <c r="BE91" i="25"/>
  <c r="BF91" i="25"/>
  <c r="BU91" i="25" s="1"/>
  <c r="BE13" i="25"/>
  <c r="BF13" i="25"/>
  <c r="BU13" i="25" s="1"/>
  <c r="BE31" i="25"/>
  <c r="BF31" i="25"/>
  <c r="BU31" i="25" s="1"/>
  <c r="BE96" i="25"/>
  <c r="BF96" i="25"/>
  <c r="BU96" i="25" s="1"/>
  <c r="BE104" i="25"/>
  <c r="BF104" i="25"/>
  <c r="BU104" i="25" s="1"/>
  <c r="BE25" i="25"/>
  <c r="BF25" i="25"/>
  <c r="BU25" i="25" s="1"/>
  <c r="BF60" i="25"/>
  <c r="BU60" i="25" s="1"/>
  <c r="BE60" i="25"/>
  <c r="BE66" i="25"/>
  <c r="BF66" i="25"/>
  <c r="BU66" i="25" s="1"/>
  <c r="BE73" i="25"/>
  <c r="BF73" i="25"/>
  <c r="BU73" i="25" s="1"/>
  <c r="BE98" i="25"/>
  <c r="BF98" i="25"/>
  <c r="BU98" i="25" s="1"/>
  <c r="BE81" i="25"/>
  <c r="BF81" i="25"/>
  <c r="BU81" i="25" s="1"/>
  <c r="BE34" i="25"/>
  <c r="BF34" i="25"/>
  <c r="BU34" i="25" s="1"/>
  <c r="BE21" i="25"/>
  <c r="BF21" i="25"/>
  <c r="BU21" i="25" s="1"/>
  <c r="BF56" i="25"/>
  <c r="BU56" i="25" s="1"/>
  <c r="BE56" i="25"/>
  <c r="BF86" i="25"/>
  <c r="BU86" i="25" s="1"/>
  <c r="BE86" i="25"/>
  <c r="BE87" i="25"/>
  <c r="BF87" i="25"/>
  <c r="BU87" i="25" s="1"/>
  <c r="BE75" i="25"/>
  <c r="BF75" i="25"/>
  <c r="BU75" i="25" s="1"/>
  <c r="BF36" i="25"/>
  <c r="BU36" i="25" s="1"/>
  <c r="BE36" i="25"/>
  <c r="BE11" i="25"/>
  <c r="BF11" i="25"/>
  <c r="BU11" i="25" s="1"/>
  <c r="BE38" i="25"/>
  <c r="BF38" i="25"/>
  <c r="BU38" i="25" s="1"/>
  <c r="BE69" i="25"/>
  <c r="BF69" i="25"/>
  <c r="BU69" i="25" s="1"/>
  <c r="BE59" i="25"/>
  <c r="BF59" i="25"/>
  <c r="BU59" i="25" s="1"/>
  <c r="BE76" i="25"/>
  <c r="BF76" i="25"/>
  <c r="BU76" i="25" s="1"/>
  <c r="BE27" i="25"/>
  <c r="BF27" i="25"/>
  <c r="BU27" i="25" s="1"/>
  <c r="BE79" i="25"/>
  <c r="BF79" i="25"/>
  <c r="BU79" i="25" s="1"/>
  <c r="BE54" i="25"/>
  <c r="BF54" i="25"/>
  <c r="BU54" i="25" s="1"/>
  <c r="BE71" i="25"/>
  <c r="BF71" i="25"/>
  <c r="BU71" i="25" s="1"/>
  <c r="BE15" i="25"/>
  <c r="BF15" i="25"/>
  <c r="BU15" i="25" s="1"/>
  <c r="BE105" i="25"/>
  <c r="BF105" i="25"/>
  <c r="BU105" i="25" s="1"/>
  <c r="BE18" i="25"/>
  <c r="BF18" i="25"/>
  <c r="BU18" i="25" s="1"/>
  <c r="BF32" i="25"/>
  <c r="BU32" i="25" s="1"/>
  <c r="BE32" i="25"/>
  <c r="BE57" i="25"/>
  <c r="BF57" i="25"/>
  <c r="BU57" i="25" s="1"/>
  <c r="BE65" i="25"/>
  <c r="BF65" i="25"/>
  <c r="BU65" i="25" s="1"/>
  <c r="BF72" i="25"/>
  <c r="BU72" i="25" s="1"/>
  <c r="BE72" i="25"/>
  <c r="BE29" i="25"/>
  <c r="BF29" i="25"/>
  <c r="BU29" i="25" s="1"/>
  <c r="BE88" i="25"/>
  <c r="BF88" i="25"/>
  <c r="BU88" i="25" s="1"/>
  <c r="BE12" i="25"/>
  <c r="BF12" i="25"/>
  <c r="BU12" i="25" s="1"/>
  <c r="BF64" i="25"/>
  <c r="BU64" i="25" s="1"/>
  <c r="BE64" i="25"/>
  <c r="BE26" i="25"/>
  <c r="BF26" i="25"/>
  <c r="BU26" i="25" s="1"/>
  <c r="BE100" i="25"/>
  <c r="BF100" i="25"/>
  <c r="BU100" i="25" s="1"/>
  <c r="BE97" i="25"/>
  <c r="BF97" i="25"/>
  <c r="BU97" i="25" s="1"/>
  <c r="BE19" i="25"/>
  <c r="BF19" i="25"/>
  <c r="BU19" i="25" s="1"/>
  <c r="BE20" i="25"/>
  <c r="BF20" i="25"/>
  <c r="BU20" i="25" s="1"/>
  <c r="BE17" i="25"/>
  <c r="BF17" i="25"/>
  <c r="BU17" i="25" s="1"/>
  <c r="BE47" i="25"/>
  <c r="BF47" i="25"/>
  <c r="BU47" i="25" s="1"/>
  <c r="BE63" i="25"/>
  <c r="BF63" i="25"/>
  <c r="BU63" i="25" s="1"/>
  <c r="BE53" i="25"/>
  <c r="BF53" i="25"/>
  <c r="BU53" i="25" s="1"/>
  <c r="BE93" i="25"/>
  <c r="BF93" i="25"/>
  <c r="BU93" i="25" s="1"/>
  <c r="BF68" i="25"/>
  <c r="BU68" i="25" s="1"/>
  <c r="BE68" i="25"/>
  <c r="BE24" i="25"/>
  <c r="BF24" i="25"/>
  <c r="BU24" i="25" s="1"/>
  <c r="BF94" i="25"/>
  <c r="BU94" i="25" s="1"/>
  <c r="BE94" i="25"/>
  <c r="BF52" i="25"/>
  <c r="BU52" i="25" s="1"/>
  <c r="BE52" i="25"/>
  <c r="BE92" i="25"/>
  <c r="BF92" i="25"/>
  <c r="BU92" i="25" s="1"/>
  <c r="BE33" i="25"/>
  <c r="BF33" i="25"/>
  <c r="BU33" i="25" s="1"/>
  <c r="BE99" i="25"/>
  <c r="BF99" i="25"/>
  <c r="BU99" i="25" s="1"/>
  <c r="BE95" i="25"/>
  <c r="BF95" i="25"/>
  <c r="BU95" i="25" s="1"/>
  <c r="BE55" i="25"/>
  <c r="BF55" i="25"/>
  <c r="BU55" i="25" s="1"/>
  <c r="BE70" i="25"/>
  <c r="BF70" i="25"/>
  <c r="BU70" i="25" s="1"/>
  <c r="BF102" i="25"/>
  <c r="BU102" i="25" s="1"/>
  <c r="BE102" i="25"/>
  <c r="BE83" i="25"/>
  <c r="BF83" i="25"/>
  <c r="BU83" i="25" s="1"/>
  <c r="BE14" i="25"/>
  <c r="BF14" i="25"/>
  <c r="BU14" i="25" s="1"/>
  <c r="BE80" i="25"/>
  <c r="BF80" i="25"/>
  <c r="BU80" i="25" s="1"/>
  <c r="BE42" i="25"/>
  <c r="BF42" i="25"/>
  <c r="BU42" i="25" s="1"/>
  <c r="BE6" i="25"/>
  <c r="BF6" i="25"/>
  <c r="BU6" i="25" s="1"/>
  <c r="BE49" i="25"/>
  <c r="BF49" i="25"/>
  <c r="BU49" i="25" s="1"/>
  <c r="BE37" i="25"/>
  <c r="BF37" i="25"/>
  <c r="BU37" i="25" s="1"/>
  <c r="BE50" i="25"/>
  <c r="BF50" i="25"/>
  <c r="BU50" i="25" s="1"/>
  <c r="BE89" i="25"/>
  <c r="BF89" i="25"/>
  <c r="BU89" i="25" s="1"/>
  <c r="BF48" i="25"/>
  <c r="BU48" i="25" s="1"/>
  <c r="BE48" i="25"/>
  <c r="BE39" i="25"/>
  <c r="BF39" i="25"/>
  <c r="BU39" i="25" s="1"/>
  <c r="BF40" i="25"/>
  <c r="BU40" i="25" s="1"/>
  <c r="BE40" i="25"/>
  <c r="BE23" i="25"/>
  <c r="BF23" i="25"/>
  <c r="BU23" i="25" s="1"/>
  <c r="BE61" i="25"/>
  <c r="BF61" i="25"/>
  <c r="BU61" i="25" s="1"/>
  <c r="BE16" i="25"/>
  <c r="BF16" i="25"/>
  <c r="BU16" i="25" s="1"/>
  <c r="BE41" i="25"/>
  <c r="BF41" i="25"/>
  <c r="BU41" i="25" s="1"/>
  <c r="BE35" i="25"/>
  <c r="BF35" i="25"/>
  <c r="BU35" i="25" s="1"/>
  <c r="BE90" i="25"/>
  <c r="BF90" i="25"/>
  <c r="BU90" i="25" s="1"/>
  <c r="BE84" i="25"/>
  <c r="BF84" i="25"/>
  <c r="BU84" i="25" s="1"/>
  <c r="BE85" i="25"/>
  <c r="BF85" i="25"/>
  <c r="BU85" i="25" s="1"/>
  <c r="BE43" i="25"/>
  <c r="BF43" i="25"/>
  <c r="BU43" i="25" s="1"/>
  <c r="AT5" i="25"/>
  <c r="AU5" i="25"/>
  <c r="BF40" i="24"/>
  <c r="BI40" i="24" s="1"/>
  <c r="BN40" i="24" s="1"/>
  <c r="BD90" i="25"/>
  <c r="BS90" i="25" s="1"/>
  <c r="BD33" i="25"/>
  <c r="BS33" i="25" s="1"/>
  <c r="BD55" i="25"/>
  <c r="BS55" i="25" s="1"/>
  <c r="BD60" i="25"/>
  <c r="BS60" i="25" s="1"/>
  <c r="BD98" i="25"/>
  <c r="BS98" i="25" s="1"/>
  <c r="BD95" i="25"/>
  <c r="BH95" i="25" s="1"/>
  <c r="BD18" i="25"/>
  <c r="BH18" i="25" s="1"/>
  <c r="BD65" i="25"/>
  <c r="BS65" i="25" s="1"/>
  <c r="B88" i="2"/>
  <c r="E23" i="1"/>
  <c r="L23" i="1"/>
  <c r="B98" i="2"/>
  <c r="BD43" i="25"/>
  <c r="BS43" i="25" s="1"/>
  <c r="BD32" i="25"/>
  <c r="BS32" i="25" s="1"/>
  <c r="BD73" i="25"/>
  <c r="BS73" i="25" s="1"/>
  <c r="BD57" i="25"/>
  <c r="BH57" i="25" s="1"/>
  <c r="BD85" i="25"/>
  <c r="BH85" i="25" s="1"/>
  <c r="BD99" i="25"/>
  <c r="BS99" i="25" s="1"/>
  <c r="BD84" i="25"/>
  <c r="BH84" i="25" s="1"/>
  <c r="BD66" i="25"/>
  <c r="BH66" i="25" s="1"/>
  <c r="BD70" i="25"/>
  <c r="BD81" i="25"/>
  <c r="BD34" i="25"/>
  <c r="BD21" i="25"/>
  <c r="BD56" i="25"/>
  <c r="BD86" i="25"/>
  <c r="BD87" i="25"/>
  <c r="BD6" i="25"/>
  <c r="BD49" i="25"/>
  <c r="BD37" i="25"/>
  <c r="BD50" i="25"/>
  <c r="BD89" i="25"/>
  <c r="BD48" i="25"/>
  <c r="BD39" i="25"/>
  <c r="BD40" i="25"/>
  <c r="BD54" i="25"/>
  <c r="BD71" i="25"/>
  <c r="BD105" i="25"/>
  <c r="BD8" i="25"/>
  <c r="BD29" i="25"/>
  <c r="BD88" i="25"/>
  <c r="BD62" i="25"/>
  <c r="BD103" i="25"/>
  <c r="BD26" i="25"/>
  <c r="BD100" i="25"/>
  <c r="BD28" i="25"/>
  <c r="BD7" i="25"/>
  <c r="BD101" i="25"/>
  <c r="BD46" i="25"/>
  <c r="BD9" i="25"/>
  <c r="BD78" i="25"/>
  <c r="BD22" i="25"/>
  <c r="BD47" i="25"/>
  <c r="BD63" i="25"/>
  <c r="BD51" i="25"/>
  <c r="BD77" i="25"/>
  <c r="BD93" i="25"/>
  <c r="BD68" i="25"/>
  <c r="BD24" i="25"/>
  <c r="BD31" i="25"/>
  <c r="BD96" i="25"/>
  <c r="BD104" i="25"/>
  <c r="BD25" i="25"/>
  <c r="BD102" i="25"/>
  <c r="BD83" i="25"/>
  <c r="BD14" i="25"/>
  <c r="BD80" i="25"/>
  <c r="BD42" i="25"/>
  <c r="BD75" i="25"/>
  <c r="BD36" i="25"/>
  <c r="BD11" i="25"/>
  <c r="BD38" i="25"/>
  <c r="BD69" i="25"/>
  <c r="BD59" i="25"/>
  <c r="BD76" i="25"/>
  <c r="BD27" i="25"/>
  <c r="BD79" i="25"/>
  <c r="BD23" i="25"/>
  <c r="BD61" i="25"/>
  <c r="BD16" i="25"/>
  <c r="BD15" i="25"/>
  <c r="BD41" i="25"/>
  <c r="BD35" i="25"/>
  <c r="BD72" i="25"/>
  <c r="BD82" i="25"/>
  <c r="BD74" i="25"/>
  <c r="BD45" i="25"/>
  <c r="BD12" i="25"/>
  <c r="BD64" i="25"/>
  <c r="BD44" i="25"/>
  <c r="BD97" i="25"/>
  <c r="BD19" i="25"/>
  <c r="BD20" i="25"/>
  <c r="BD17" i="25"/>
  <c r="BD67" i="25"/>
  <c r="BD53" i="25"/>
  <c r="BD10" i="25"/>
  <c r="BD30" i="25"/>
  <c r="BD91" i="25"/>
  <c r="BD13" i="25"/>
  <c r="BD94" i="25"/>
  <c r="BD52" i="25"/>
  <c r="BD92" i="25"/>
  <c r="BN53" i="24"/>
  <c r="BN32" i="24"/>
  <c r="BS53" i="24"/>
  <c r="BW53" i="24" s="1"/>
  <c r="BS32" i="24"/>
  <c r="BW32" i="24" s="1"/>
  <c r="BF85" i="24"/>
  <c r="BI85" i="24" s="1"/>
  <c r="BG85" i="24"/>
  <c r="BT85" i="24" s="1"/>
  <c r="BF21" i="24"/>
  <c r="BI21" i="24" s="1"/>
  <c r="BG21" i="24"/>
  <c r="BT21" i="24" s="1"/>
  <c r="BF95" i="24"/>
  <c r="BI95" i="24" s="1"/>
  <c r="BG95" i="24"/>
  <c r="BT95" i="24" s="1"/>
  <c r="BF68" i="24"/>
  <c r="BI68" i="24" s="1"/>
  <c r="BG68" i="24"/>
  <c r="BT68" i="24" s="1"/>
  <c r="BF28" i="24"/>
  <c r="BS28" i="24" s="1"/>
  <c r="BG28" i="24"/>
  <c r="BT28" i="24" s="1"/>
  <c r="BF14" i="24"/>
  <c r="BI14" i="24" s="1"/>
  <c r="BG14" i="24"/>
  <c r="BT14" i="24" s="1"/>
  <c r="BF92" i="24"/>
  <c r="BI92" i="24" s="1"/>
  <c r="BG92" i="24"/>
  <c r="BT92" i="24" s="1"/>
  <c r="BF55" i="24"/>
  <c r="BS55" i="24" s="1"/>
  <c r="BG55" i="24"/>
  <c r="BT55" i="24" s="1"/>
  <c r="BF105" i="24"/>
  <c r="BI105" i="24" s="1"/>
  <c r="BG105" i="24"/>
  <c r="BT105" i="24" s="1"/>
  <c r="L17" i="1" s="1"/>
  <c r="BF63" i="24"/>
  <c r="BS63" i="24" s="1"/>
  <c r="BG63" i="24"/>
  <c r="BT63" i="24" s="1"/>
  <c r="BF36" i="24"/>
  <c r="BI36" i="24" s="1"/>
  <c r="BG36" i="24"/>
  <c r="BT36" i="24" s="1"/>
  <c r="BF42" i="24"/>
  <c r="BS42" i="24" s="1"/>
  <c r="BG42" i="24"/>
  <c r="BT42" i="24" s="1"/>
  <c r="BF59" i="24"/>
  <c r="BI59" i="24" s="1"/>
  <c r="BG59" i="24"/>
  <c r="BT59" i="24" s="1"/>
  <c r="BF19" i="24"/>
  <c r="BS19" i="24" s="1"/>
  <c r="BG19" i="24"/>
  <c r="BT19" i="24" s="1"/>
  <c r="BF54" i="24"/>
  <c r="BI54" i="24" s="1"/>
  <c r="BG54" i="24"/>
  <c r="BT54" i="24" s="1"/>
  <c r="BF82" i="24"/>
  <c r="BI82" i="24" s="1"/>
  <c r="BG82" i="24"/>
  <c r="BT82" i="24" s="1"/>
  <c r="BF60" i="24"/>
  <c r="BS60" i="24" s="1"/>
  <c r="BG60" i="24"/>
  <c r="BT60" i="24" s="1"/>
  <c r="BF29" i="24"/>
  <c r="BI29" i="24" s="1"/>
  <c r="BG29" i="24"/>
  <c r="BT29" i="24" s="1"/>
  <c r="BF18" i="24"/>
  <c r="BS18" i="24" s="1"/>
  <c r="BG18" i="24"/>
  <c r="BT18" i="24" s="1"/>
  <c r="BF100" i="24"/>
  <c r="BS100" i="24" s="1"/>
  <c r="BG100" i="24"/>
  <c r="BT100" i="24" s="1"/>
  <c r="BF46" i="24"/>
  <c r="BS46" i="24" s="1"/>
  <c r="BG46" i="24"/>
  <c r="BT46" i="24" s="1"/>
  <c r="BF31" i="24"/>
  <c r="BS31" i="24" s="1"/>
  <c r="BG31" i="24"/>
  <c r="BT31" i="24" s="1"/>
  <c r="BF41" i="24"/>
  <c r="BI41" i="24" s="1"/>
  <c r="BG41" i="24"/>
  <c r="BT41" i="24" s="1"/>
  <c r="BF83" i="24"/>
  <c r="BS83" i="24" s="1"/>
  <c r="BG83" i="24"/>
  <c r="BT83" i="24" s="1"/>
  <c r="BF91" i="24"/>
  <c r="BI91" i="24" s="1"/>
  <c r="BG91" i="24"/>
  <c r="BT91" i="24" s="1"/>
  <c r="BF78" i="24"/>
  <c r="BI78" i="24" s="1"/>
  <c r="BG78" i="24"/>
  <c r="BT78" i="24" s="1"/>
  <c r="BF96" i="24"/>
  <c r="BI96" i="24" s="1"/>
  <c r="BG96" i="24"/>
  <c r="BT96" i="24" s="1"/>
  <c r="BF79" i="24"/>
  <c r="BI79" i="24" s="1"/>
  <c r="BG79" i="24"/>
  <c r="BT79" i="24" s="1"/>
  <c r="BF87" i="24"/>
  <c r="BI87" i="24" s="1"/>
  <c r="BG87" i="24"/>
  <c r="BT87" i="24" s="1"/>
  <c r="BF72" i="24"/>
  <c r="BS72" i="24" s="1"/>
  <c r="BG72" i="24"/>
  <c r="BT72" i="24" s="1"/>
  <c r="BF74" i="24"/>
  <c r="BI74" i="24" s="1"/>
  <c r="BG74" i="24"/>
  <c r="BT74" i="24" s="1"/>
  <c r="BF56" i="24"/>
  <c r="BS56" i="24" s="1"/>
  <c r="BG56" i="24"/>
  <c r="BT56" i="24" s="1"/>
  <c r="BF25" i="24"/>
  <c r="BS25" i="24" s="1"/>
  <c r="BG25" i="24"/>
  <c r="BT25" i="24" s="1"/>
  <c r="BF70" i="24"/>
  <c r="BS70" i="24" s="1"/>
  <c r="BG70" i="24"/>
  <c r="BT70" i="24" s="1"/>
  <c r="BF89" i="24"/>
  <c r="BI89" i="24" s="1"/>
  <c r="BG89" i="24"/>
  <c r="BT89" i="24" s="1"/>
  <c r="BF10" i="24"/>
  <c r="BS10" i="24" s="1"/>
  <c r="BG10" i="24"/>
  <c r="BT10" i="24" s="1"/>
  <c r="BF101" i="24"/>
  <c r="BS101" i="24" s="1"/>
  <c r="BG101" i="24"/>
  <c r="BT101" i="24" s="1"/>
  <c r="BF50" i="24"/>
  <c r="BS50" i="24" s="1"/>
  <c r="BG50" i="24"/>
  <c r="BT50" i="24" s="1"/>
  <c r="F64" i="19"/>
  <c r="F65" i="19"/>
  <c r="BE210" i="25" l="1"/>
  <c r="BT210" i="25" s="1"/>
  <c r="BF210" i="25"/>
  <c r="BU210" i="25" s="1"/>
  <c r="BF184" i="25"/>
  <c r="BU184" i="25" s="1"/>
  <c r="BE184" i="25"/>
  <c r="BT184" i="25" s="1"/>
  <c r="BF125" i="25"/>
  <c r="BU125" i="25" s="1"/>
  <c r="BC282" i="24"/>
  <c r="BC131" i="24"/>
  <c r="BD131" i="24"/>
  <c r="BD309" i="24"/>
  <c r="BC309" i="24"/>
  <c r="BC128" i="24"/>
  <c r="BD128" i="24"/>
  <c r="BD279" i="24"/>
  <c r="BC279" i="24"/>
  <c r="BC122" i="24"/>
  <c r="BD122" i="24"/>
  <c r="BC170" i="24"/>
  <c r="BD170" i="24"/>
  <c r="BC157" i="24"/>
  <c r="BD157" i="24"/>
  <c r="BC163" i="24"/>
  <c r="BD163" i="24"/>
  <c r="BC152" i="24"/>
  <c r="BD152" i="24"/>
  <c r="BC184" i="24"/>
  <c r="BD184" i="24"/>
  <c r="BD256" i="24"/>
  <c r="BC256" i="24"/>
  <c r="BD227" i="24"/>
  <c r="BC227" i="24"/>
  <c r="BC174" i="24"/>
  <c r="BD174" i="24"/>
  <c r="BC204" i="24"/>
  <c r="BD204" i="24"/>
  <c r="BC147" i="24"/>
  <c r="BD147" i="24"/>
  <c r="BC207" i="24"/>
  <c r="BD207" i="24"/>
  <c r="BC196" i="24"/>
  <c r="BD196" i="24"/>
  <c r="BC132" i="24"/>
  <c r="BD132" i="24"/>
  <c r="BC162" i="24"/>
  <c r="BD162" i="24"/>
  <c r="BC205" i="24"/>
  <c r="BD205" i="24"/>
  <c r="BC117" i="24"/>
  <c r="BD117" i="24"/>
  <c r="BC198" i="24"/>
  <c r="BD198" i="24"/>
  <c r="BC186" i="24"/>
  <c r="BD186" i="24"/>
  <c r="BC150" i="24"/>
  <c r="BD150" i="24"/>
  <c r="BC146" i="24"/>
  <c r="BD146" i="24"/>
  <c r="BD218" i="24"/>
  <c r="BC218" i="24"/>
  <c r="BC22" i="24"/>
  <c r="BD22" i="24"/>
  <c r="BC101" i="24"/>
  <c r="BD101" i="24"/>
  <c r="BC60" i="24"/>
  <c r="BD60" i="24"/>
  <c r="BC10" i="24"/>
  <c r="BD10" i="24"/>
  <c r="BC25" i="24"/>
  <c r="BD25" i="24"/>
  <c r="BC95" i="24"/>
  <c r="BD95" i="24"/>
  <c r="BC70" i="24"/>
  <c r="BD70" i="24"/>
  <c r="BC43" i="24"/>
  <c r="BD43" i="24"/>
  <c r="BC34" i="24"/>
  <c r="BD34" i="24"/>
  <c r="BC50" i="24"/>
  <c r="BD50" i="24"/>
  <c r="BC81" i="24"/>
  <c r="BD81" i="24"/>
  <c r="B120" i="2"/>
  <c r="B114" i="2" s="1"/>
  <c r="BD105" i="24"/>
  <c r="BA5" i="25"/>
  <c r="BB5" i="25"/>
  <c r="BC87" i="24"/>
  <c r="BD87" i="24"/>
  <c r="BC14" i="24"/>
  <c r="BD14" i="24"/>
  <c r="BC41" i="24"/>
  <c r="BD41" i="24"/>
  <c r="BC78" i="24"/>
  <c r="BD78" i="24"/>
  <c r="BC69" i="24"/>
  <c r="BD69" i="24"/>
  <c r="BC91" i="24"/>
  <c r="BD91" i="24"/>
  <c r="BC55" i="24"/>
  <c r="BD55" i="24"/>
  <c r="AW43" i="24"/>
  <c r="AY43" i="24" s="1"/>
  <c r="AZ43" i="24" s="1"/>
  <c r="BG133" i="24"/>
  <c r="BT133" i="24" s="1"/>
  <c r="AY133" i="24"/>
  <c r="AZ133" i="24" s="1"/>
  <c r="BF166" i="24"/>
  <c r="BS166" i="24" s="1"/>
  <c r="BG166" i="24"/>
  <c r="BT166" i="24" s="1"/>
  <c r="BF167" i="24"/>
  <c r="BS167" i="24" s="1"/>
  <c r="BW167" i="24" s="1"/>
  <c r="BH191" i="25"/>
  <c r="BS191" i="25"/>
  <c r="BX191" i="25" s="1"/>
  <c r="BH165" i="25"/>
  <c r="BS165" i="25"/>
  <c r="BX165" i="25" s="1"/>
  <c r="BH152" i="25"/>
  <c r="BS152" i="25"/>
  <c r="BX152" i="25" s="1"/>
  <c r="BH168" i="25"/>
  <c r="BS168" i="25"/>
  <c r="BX168" i="25" s="1"/>
  <c r="BH136" i="25"/>
  <c r="BS136" i="25"/>
  <c r="BX136" i="25" s="1"/>
  <c r="BH137" i="25"/>
  <c r="BS137" i="25"/>
  <c r="BX137" i="25" s="1"/>
  <c r="BH159" i="25"/>
  <c r="BS159" i="25"/>
  <c r="BX159" i="25" s="1"/>
  <c r="BH114" i="25"/>
  <c r="BS114" i="25"/>
  <c r="BX114" i="25" s="1"/>
  <c r="BH111" i="25"/>
  <c r="BS111" i="25"/>
  <c r="BX111" i="25" s="1"/>
  <c r="BH206" i="25"/>
  <c r="BS206" i="25"/>
  <c r="BX206" i="25" s="1"/>
  <c r="BH163" i="25"/>
  <c r="BS163" i="25"/>
  <c r="BX163" i="25" s="1"/>
  <c r="BH119" i="25"/>
  <c r="BS119" i="25"/>
  <c r="BX119" i="25" s="1"/>
  <c r="BH158" i="25"/>
  <c r="BS158" i="25"/>
  <c r="BX158" i="25" s="1"/>
  <c r="BS210" i="25"/>
  <c r="BH210" i="25"/>
  <c r="BH175" i="25"/>
  <c r="BS175" i="25"/>
  <c r="BX175" i="25" s="1"/>
  <c r="BS122" i="25"/>
  <c r="BX122" i="25" s="1"/>
  <c r="BH122" i="25"/>
  <c r="BS112" i="25"/>
  <c r="BX112" i="25" s="1"/>
  <c r="BH112" i="25"/>
  <c r="BH205" i="25"/>
  <c r="BS205" i="25"/>
  <c r="BX205" i="25" s="1"/>
  <c r="BH189" i="25"/>
  <c r="BS189" i="25"/>
  <c r="BX189" i="25" s="1"/>
  <c r="BS196" i="25"/>
  <c r="BX196" i="25" s="1"/>
  <c r="BH196" i="25"/>
  <c r="BS198" i="25"/>
  <c r="BX198" i="25" s="1"/>
  <c r="BH198" i="25"/>
  <c r="BH170" i="25"/>
  <c r="BS170" i="25"/>
  <c r="BX170" i="25" s="1"/>
  <c r="BH199" i="25"/>
  <c r="BS199" i="25"/>
  <c r="BX199" i="25" s="1"/>
  <c r="BH202" i="25"/>
  <c r="BS202" i="25"/>
  <c r="BX202" i="25" s="1"/>
  <c r="BH186" i="25"/>
  <c r="BS186" i="25"/>
  <c r="BX186" i="25" s="1"/>
  <c r="BH197" i="25"/>
  <c r="BS197" i="25"/>
  <c r="BX197" i="25" s="1"/>
  <c r="BH156" i="25"/>
  <c r="BS156" i="25"/>
  <c r="BX156" i="25" s="1"/>
  <c r="BH164" i="25"/>
  <c r="BS164" i="25"/>
  <c r="BX164" i="25" s="1"/>
  <c r="BH123" i="25"/>
  <c r="BS123" i="25"/>
  <c r="BX123" i="25" s="1"/>
  <c r="BH127" i="25"/>
  <c r="BS127" i="25"/>
  <c r="BX127" i="25" s="1"/>
  <c r="BH143" i="25"/>
  <c r="BS143" i="25"/>
  <c r="BX143" i="25" s="1"/>
  <c r="BS162" i="25"/>
  <c r="BX162" i="25" s="1"/>
  <c r="BH162" i="25"/>
  <c r="BH125" i="25"/>
  <c r="BS125" i="25"/>
  <c r="BH116" i="25"/>
  <c r="BS116" i="25"/>
  <c r="BX116" i="25" s="1"/>
  <c r="BH149" i="25"/>
  <c r="BS149" i="25"/>
  <c r="BX149" i="25" s="1"/>
  <c r="BH144" i="25"/>
  <c r="BS144" i="25"/>
  <c r="BX144" i="25" s="1"/>
  <c r="BH181" i="25"/>
  <c r="BS181" i="25"/>
  <c r="BX181" i="25" s="1"/>
  <c r="BH138" i="25"/>
  <c r="BS138" i="25"/>
  <c r="BX138" i="25" s="1"/>
  <c r="BH132" i="25"/>
  <c r="BS132" i="25"/>
  <c r="BX132" i="25" s="1"/>
  <c r="BH193" i="25"/>
  <c r="BS193" i="25"/>
  <c r="BX193" i="25" s="1"/>
  <c r="BH117" i="25"/>
  <c r="BS117" i="25"/>
  <c r="BX117" i="25" s="1"/>
  <c r="BH153" i="25"/>
  <c r="BS153" i="25"/>
  <c r="BX153" i="25" s="1"/>
  <c r="BH133" i="25"/>
  <c r="BS133" i="25"/>
  <c r="BX133" i="25" s="1"/>
  <c r="BH126" i="25"/>
  <c r="BS126" i="25"/>
  <c r="BX126" i="25" s="1"/>
  <c r="BH161" i="25"/>
  <c r="BS161" i="25"/>
  <c r="BX161" i="25" s="1"/>
  <c r="BH192" i="25"/>
  <c r="BS192" i="25"/>
  <c r="BX192" i="25" s="1"/>
  <c r="BH183" i="25"/>
  <c r="BS183" i="25"/>
  <c r="BX183" i="25" s="1"/>
  <c r="BH207" i="25"/>
  <c r="BS207" i="25"/>
  <c r="BX207" i="25" s="1"/>
  <c r="BH173" i="25"/>
  <c r="BS173" i="25"/>
  <c r="BX173" i="25" s="1"/>
  <c r="BH130" i="25"/>
  <c r="BS130" i="25"/>
  <c r="BX130" i="25" s="1"/>
  <c r="BS134" i="25"/>
  <c r="BX134" i="25" s="1"/>
  <c r="BH134" i="25"/>
  <c r="BH208" i="25"/>
  <c r="BS208" i="25"/>
  <c r="BX208" i="25" s="1"/>
  <c r="BH151" i="25"/>
  <c r="BS151" i="25"/>
  <c r="BX151" i="25" s="1"/>
  <c r="BS128" i="25"/>
  <c r="BX128" i="25" s="1"/>
  <c r="BH128" i="25"/>
  <c r="BS182" i="25"/>
  <c r="BX182" i="25" s="1"/>
  <c r="BH182" i="25"/>
  <c r="BH129" i="25"/>
  <c r="BS129" i="25"/>
  <c r="BX129" i="25" s="1"/>
  <c r="BH200" i="25"/>
  <c r="BS200" i="25"/>
  <c r="BX200" i="25" s="1"/>
  <c r="BH179" i="25"/>
  <c r="BS179" i="25"/>
  <c r="BX179" i="25" s="1"/>
  <c r="BF110" i="25"/>
  <c r="BU110" i="25" s="1"/>
  <c r="BD110" i="25"/>
  <c r="BE110" i="25"/>
  <c r="BT110" i="25" s="1"/>
  <c r="BH148" i="25"/>
  <c r="BS148" i="25"/>
  <c r="BX148" i="25" s="1"/>
  <c r="BH121" i="25"/>
  <c r="BS121" i="25"/>
  <c r="BX121" i="25" s="1"/>
  <c r="BH115" i="25"/>
  <c r="BS115" i="25"/>
  <c r="BX115" i="25" s="1"/>
  <c r="BH178" i="25"/>
  <c r="BS178" i="25"/>
  <c r="BX178" i="25" s="1"/>
  <c r="BS131" i="25"/>
  <c r="BX131" i="25" s="1"/>
  <c r="BH131" i="25"/>
  <c r="BH146" i="25"/>
  <c r="BS146" i="25"/>
  <c r="BX146" i="25" s="1"/>
  <c r="BH118" i="25"/>
  <c r="BS118" i="25"/>
  <c r="BX118" i="25" s="1"/>
  <c r="BH139" i="25"/>
  <c r="BS139" i="25"/>
  <c r="BX139" i="25" s="1"/>
  <c r="BS120" i="25"/>
  <c r="BX120" i="25" s="1"/>
  <c r="BH120" i="25"/>
  <c r="BH209" i="25"/>
  <c r="BS209" i="25"/>
  <c r="BX209" i="25" s="1"/>
  <c r="BH150" i="25"/>
  <c r="BS150" i="25"/>
  <c r="BX150" i="25" s="1"/>
  <c r="BH113" i="25"/>
  <c r="BS113" i="25"/>
  <c r="BX113" i="25" s="1"/>
  <c r="BH177" i="25"/>
  <c r="BS177" i="25"/>
  <c r="BX177" i="25" s="1"/>
  <c r="BH169" i="25"/>
  <c r="BS169" i="25"/>
  <c r="BX169" i="25" s="1"/>
  <c r="BS203" i="25"/>
  <c r="BX203" i="25" s="1"/>
  <c r="BH203" i="25"/>
  <c r="BH167" i="25"/>
  <c r="BS167" i="25"/>
  <c r="BX167" i="25" s="1"/>
  <c r="BH135" i="25"/>
  <c r="BS135" i="25"/>
  <c r="BX135" i="25" s="1"/>
  <c r="BH187" i="25"/>
  <c r="BS187" i="25"/>
  <c r="BX187" i="25" s="1"/>
  <c r="BH172" i="25"/>
  <c r="BS172" i="25"/>
  <c r="BX172" i="25" s="1"/>
  <c r="BS176" i="25"/>
  <c r="BX176" i="25" s="1"/>
  <c r="BH176" i="25"/>
  <c r="BS140" i="25"/>
  <c r="BX140" i="25" s="1"/>
  <c r="BH140" i="25"/>
  <c r="BS124" i="25"/>
  <c r="BX124" i="25" s="1"/>
  <c r="BH124" i="25"/>
  <c r="BS147" i="25"/>
  <c r="BX147" i="25" s="1"/>
  <c r="BH147" i="25"/>
  <c r="BH194" i="25"/>
  <c r="BS194" i="25"/>
  <c r="BX194" i="25" s="1"/>
  <c r="BH160" i="25"/>
  <c r="BM160" i="25" s="1"/>
  <c r="BS160" i="25"/>
  <c r="BX160" i="25" s="1"/>
  <c r="BH155" i="25"/>
  <c r="BS155" i="25"/>
  <c r="BX155" i="25" s="1"/>
  <c r="BS157" i="25"/>
  <c r="BX157" i="25" s="1"/>
  <c r="BH157" i="25"/>
  <c r="BS154" i="25"/>
  <c r="BX154" i="25" s="1"/>
  <c r="BH154" i="25"/>
  <c r="BH190" i="25"/>
  <c r="BS190" i="25"/>
  <c r="BX190" i="25" s="1"/>
  <c r="BH188" i="25"/>
  <c r="BS188" i="25"/>
  <c r="BX188" i="25" s="1"/>
  <c r="BH195" i="25"/>
  <c r="BS195" i="25"/>
  <c r="BX195" i="25" s="1"/>
  <c r="BS174" i="25"/>
  <c r="BX174" i="25" s="1"/>
  <c r="BH174" i="25"/>
  <c r="BS204" i="25"/>
  <c r="BX204" i="25" s="1"/>
  <c r="BH204" i="25"/>
  <c r="BH171" i="25"/>
  <c r="BS171" i="25"/>
  <c r="BX171" i="25" s="1"/>
  <c r="BS180" i="25"/>
  <c r="BX180" i="25" s="1"/>
  <c r="BH180" i="25"/>
  <c r="BH201" i="25"/>
  <c r="BS201" i="25"/>
  <c r="BX201" i="25" s="1"/>
  <c r="BH145" i="25"/>
  <c r="BS145" i="25"/>
  <c r="BX145" i="25" s="1"/>
  <c r="BH142" i="25"/>
  <c r="BS142" i="25"/>
  <c r="BX142" i="25" s="1"/>
  <c r="BS141" i="25"/>
  <c r="BX141" i="25" s="1"/>
  <c r="BH141" i="25"/>
  <c r="BH184" i="25"/>
  <c r="BS184" i="25"/>
  <c r="BH185" i="25"/>
  <c r="BS185" i="25"/>
  <c r="BX185" i="25" s="1"/>
  <c r="BH166" i="25"/>
  <c r="BS166" i="25"/>
  <c r="BX166" i="25" s="1"/>
  <c r="AY115" i="24"/>
  <c r="AZ115" i="24" s="1"/>
  <c r="AY167" i="24"/>
  <c r="AZ167" i="24" s="1"/>
  <c r="BF115" i="24"/>
  <c r="BS115" i="24" s="1"/>
  <c r="BW115" i="24" s="1"/>
  <c r="AY165" i="24"/>
  <c r="AZ165" i="24" s="1"/>
  <c r="BF165" i="24"/>
  <c r="BI165" i="24" s="1"/>
  <c r="BG194" i="24"/>
  <c r="BT194" i="24" s="1"/>
  <c r="AY194" i="24"/>
  <c r="AZ194" i="24" s="1"/>
  <c r="BF194" i="24"/>
  <c r="BF141" i="24"/>
  <c r="BG141" i="24"/>
  <c r="BT141" i="24" s="1"/>
  <c r="AY141" i="24"/>
  <c r="AZ141" i="24" s="1"/>
  <c r="BF199" i="24"/>
  <c r="AY199" i="24"/>
  <c r="AZ199" i="24" s="1"/>
  <c r="BG199" i="24"/>
  <c r="BT199" i="24" s="1"/>
  <c r="BG112" i="24"/>
  <c r="BT112" i="24" s="1"/>
  <c r="AY112" i="24"/>
  <c r="AZ112" i="24" s="1"/>
  <c r="BF112" i="24"/>
  <c r="BF203" i="24"/>
  <c r="AY203" i="24"/>
  <c r="AZ203" i="24" s="1"/>
  <c r="BG203" i="24"/>
  <c r="BT203" i="24" s="1"/>
  <c r="AY193" i="24"/>
  <c r="AZ193" i="24" s="1"/>
  <c r="BG193" i="24"/>
  <c r="BT193" i="24" s="1"/>
  <c r="BF193" i="24"/>
  <c r="BS144" i="24"/>
  <c r="BW144" i="24" s="1"/>
  <c r="BI144" i="24"/>
  <c r="BS127" i="24"/>
  <c r="BW127" i="24" s="1"/>
  <c r="BI127" i="24"/>
  <c r="BS152" i="24"/>
  <c r="BW152" i="24" s="1"/>
  <c r="BI152" i="24"/>
  <c r="BS147" i="24"/>
  <c r="BW147" i="24" s="1"/>
  <c r="BI147" i="24"/>
  <c r="BS187" i="24"/>
  <c r="BW187" i="24" s="1"/>
  <c r="BI187" i="24"/>
  <c r="BS128" i="24"/>
  <c r="BW128" i="24" s="1"/>
  <c r="BI128" i="24"/>
  <c r="BS163" i="24"/>
  <c r="BW163" i="24" s="1"/>
  <c r="BI163" i="24"/>
  <c r="BS131" i="24"/>
  <c r="BW131" i="24" s="1"/>
  <c r="BI131" i="24"/>
  <c r="BS151" i="24"/>
  <c r="BW151" i="24" s="1"/>
  <c r="BI151" i="24"/>
  <c r="BS158" i="24"/>
  <c r="BW158" i="24" s="1"/>
  <c r="BI158" i="24"/>
  <c r="BI200" i="24"/>
  <c r="BS200" i="24"/>
  <c r="BW200" i="24" s="1"/>
  <c r="BS116" i="24"/>
  <c r="BW116" i="24" s="1"/>
  <c r="BI116" i="24"/>
  <c r="BF172" i="24"/>
  <c r="AY172" i="24"/>
  <c r="AZ172" i="24" s="1"/>
  <c r="BG172" i="24"/>
  <c r="BT172" i="24" s="1"/>
  <c r="BG149" i="24"/>
  <c r="BT149" i="24" s="1"/>
  <c r="BF149" i="24"/>
  <c r="AY149" i="24"/>
  <c r="AZ149" i="24" s="1"/>
  <c r="BG119" i="24"/>
  <c r="BT119" i="24" s="1"/>
  <c r="BF119" i="24"/>
  <c r="AY119" i="24"/>
  <c r="AZ119" i="24" s="1"/>
  <c r="AY123" i="24"/>
  <c r="AZ123" i="24" s="1"/>
  <c r="BF123" i="24"/>
  <c r="BG123" i="24"/>
  <c r="BT123" i="24" s="1"/>
  <c r="BG136" i="24"/>
  <c r="BT136" i="24" s="1"/>
  <c r="BF136" i="24"/>
  <c r="AY136" i="24"/>
  <c r="AZ136" i="24" s="1"/>
  <c r="BG156" i="24"/>
  <c r="BT156" i="24" s="1"/>
  <c r="BF156" i="24"/>
  <c r="AY156" i="24"/>
  <c r="AZ156" i="24" s="1"/>
  <c r="BF188" i="24"/>
  <c r="AY188" i="24"/>
  <c r="AZ188" i="24" s="1"/>
  <c r="BG188" i="24"/>
  <c r="BT188" i="24" s="1"/>
  <c r="AY206" i="24"/>
  <c r="AZ206" i="24" s="1"/>
  <c r="BF206" i="24"/>
  <c r="BG206" i="24"/>
  <c r="BT206" i="24" s="1"/>
  <c r="AY181" i="24"/>
  <c r="AZ181" i="24" s="1"/>
  <c r="BF181" i="24"/>
  <c r="BG181" i="24"/>
  <c r="BT181" i="24" s="1"/>
  <c r="BG159" i="24"/>
  <c r="BT159" i="24" s="1"/>
  <c r="AY159" i="24"/>
  <c r="AZ159" i="24" s="1"/>
  <c r="BF159" i="24"/>
  <c r="BG191" i="24"/>
  <c r="BT191" i="24" s="1"/>
  <c r="BF191" i="24"/>
  <c r="AY191" i="24"/>
  <c r="AZ191" i="24" s="1"/>
  <c r="BI170" i="24"/>
  <c r="BS170" i="24"/>
  <c r="BW170" i="24" s="1"/>
  <c r="BI157" i="24"/>
  <c r="BS157" i="24"/>
  <c r="BW157" i="24" s="1"/>
  <c r="BS126" i="24"/>
  <c r="BW126" i="24" s="1"/>
  <c r="BI126" i="24"/>
  <c r="BI186" i="24"/>
  <c r="BN186" i="24" s="1"/>
  <c r="BS186" i="24"/>
  <c r="BS129" i="24"/>
  <c r="BW129" i="24" s="1"/>
  <c r="BI129" i="24"/>
  <c r="BS138" i="24"/>
  <c r="BW138" i="24" s="1"/>
  <c r="BI138" i="24"/>
  <c r="BS164" i="24"/>
  <c r="BW164" i="24" s="1"/>
  <c r="BI164" i="24"/>
  <c r="BS184" i="24"/>
  <c r="BW184" i="24" s="1"/>
  <c r="BI184" i="24"/>
  <c r="BS135" i="24"/>
  <c r="BW135" i="24" s="1"/>
  <c r="BI135" i="24"/>
  <c r="BS205" i="24"/>
  <c r="BW205" i="24" s="1"/>
  <c r="BI205" i="24"/>
  <c r="BI185" i="24"/>
  <c r="BN185" i="24" s="1"/>
  <c r="BS185" i="24"/>
  <c r="BS133" i="24"/>
  <c r="BI133" i="24"/>
  <c r="BF134" i="24"/>
  <c r="BG134" i="24"/>
  <c r="BT134" i="24" s="1"/>
  <c r="AY134" i="24"/>
  <c r="AZ134" i="24" s="1"/>
  <c r="AY169" i="24"/>
  <c r="AZ169" i="24" s="1"/>
  <c r="BG169" i="24"/>
  <c r="BT169" i="24" s="1"/>
  <c r="BF169" i="24"/>
  <c r="AY210" i="24"/>
  <c r="AZ210" i="24" s="1"/>
  <c r="BF210" i="24"/>
  <c r="BG210" i="24"/>
  <c r="BT210" i="24" s="1"/>
  <c r="AY208" i="24"/>
  <c r="AZ208" i="24" s="1"/>
  <c r="BG208" i="24"/>
  <c r="BT208" i="24" s="1"/>
  <c r="BF208" i="24"/>
  <c r="AY195" i="24"/>
  <c r="AZ195" i="24" s="1"/>
  <c r="BF195" i="24"/>
  <c r="BG195" i="24"/>
  <c r="BT195" i="24" s="1"/>
  <c r="BG209" i="24"/>
  <c r="BT209" i="24" s="1"/>
  <c r="BF209" i="24"/>
  <c r="AY209" i="24"/>
  <c r="AZ209" i="24" s="1"/>
  <c r="BF176" i="24"/>
  <c r="AY176" i="24"/>
  <c r="AZ176" i="24" s="1"/>
  <c r="BG176" i="24"/>
  <c r="BT176" i="24" s="1"/>
  <c r="BF182" i="24"/>
  <c r="AY182" i="24"/>
  <c r="AZ182" i="24" s="1"/>
  <c r="BG182" i="24"/>
  <c r="BT182" i="24" s="1"/>
  <c r="BS150" i="24"/>
  <c r="BW150" i="24" s="1"/>
  <c r="BI150" i="24"/>
  <c r="BI196" i="24"/>
  <c r="BS196" i="24"/>
  <c r="BW196" i="24" s="1"/>
  <c r="BS140" i="24"/>
  <c r="BW140" i="24" s="1"/>
  <c r="BI140" i="24"/>
  <c r="BI201" i="24"/>
  <c r="BS201" i="24"/>
  <c r="BW201" i="24" s="1"/>
  <c r="BS113" i="24"/>
  <c r="BW113" i="24" s="1"/>
  <c r="BI113" i="24"/>
  <c r="BS173" i="24"/>
  <c r="BW173" i="24" s="1"/>
  <c r="BI173" i="24"/>
  <c r="BS197" i="24"/>
  <c r="BW197" i="24" s="1"/>
  <c r="BI197" i="24"/>
  <c r="BS121" i="24"/>
  <c r="BW121" i="24" s="1"/>
  <c r="BI121" i="24"/>
  <c r="BS171" i="24"/>
  <c r="BW171" i="24" s="1"/>
  <c r="BI171" i="24"/>
  <c r="BI178" i="24"/>
  <c r="BS178" i="24"/>
  <c r="BW178" i="24" s="1"/>
  <c r="BS177" i="24"/>
  <c r="BW177" i="24" s="1"/>
  <c r="BI177" i="24"/>
  <c r="BS153" i="24"/>
  <c r="BW153" i="24" s="1"/>
  <c r="BI153" i="24"/>
  <c r="BS148" i="24"/>
  <c r="BW148" i="24" s="1"/>
  <c r="BI148" i="24"/>
  <c r="BS179" i="24"/>
  <c r="BW179" i="24" s="1"/>
  <c r="BI179" i="24"/>
  <c r="BS162" i="24"/>
  <c r="BW162" i="24" s="1"/>
  <c r="BI162" i="24"/>
  <c r="BS132" i="24"/>
  <c r="BW132" i="24" s="1"/>
  <c r="BI132" i="24"/>
  <c r="BS204" i="24"/>
  <c r="BW204" i="24" s="1"/>
  <c r="BI204" i="24"/>
  <c r="BS124" i="24"/>
  <c r="BW124" i="24" s="1"/>
  <c r="BI124" i="24"/>
  <c r="BS183" i="24"/>
  <c r="BW183" i="24" s="1"/>
  <c r="BI183" i="24"/>
  <c r="BS175" i="24"/>
  <c r="BW175" i="24" s="1"/>
  <c r="BI175" i="24"/>
  <c r="BS154" i="24"/>
  <c r="BW154" i="24" s="1"/>
  <c r="BI154" i="24"/>
  <c r="BS145" i="24"/>
  <c r="BW145" i="24" s="1"/>
  <c r="BI145" i="24"/>
  <c r="BS120" i="24"/>
  <c r="BW120" i="24" s="1"/>
  <c r="BI120" i="24"/>
  <c r="AY161" i="24"/>
  <c r="AZ161" i="24" s="1"/>
  <c r="BG161" i="24"/>
  <c r="BT161" i="24" s="1"/>
  <c r="BF161" i="24"/>
  <c r="BF168" i="24"/>
  <c r="AY168" i="24"/>
  <c r="AZ168" i="24" s="1"/>
  <c r="BG168" i="24"/>
  <c r="BT168" i="24" s="1"/>
  <c r="BG130" i="24"/>
  <c r="BT130" i="24" s="1"/>
  <c r="BF130" i="24"/>
  <c r="AY130" i="24"/>
  <c r="AZ130" i="24" s="1"/>
  <c r="BF189" i="24"/>
  <c r="BG189" i="24"/>
  <c r="BT189" i="24" s="1"/>
  <c r="AY189" i="24"/>
  <c r="AZ189" i="24" s="1"/>
  <c r="BS146" i="24"/>
  <c r="BW146" i="24" s="1"/>
  <c r="BI146" i="24"/>
  <c r="BS142" i="24"/>
  <c r="BW142" i="24" s="1"/>
  <c r="BI142" i="24"/>
  <c r="AY155" i="24"/>
  <c r="AZ155" i="24" s="1"/>
  <c r="BF155" i="24"/>
  <c r="BG155" i="24"/>
  <c r="BT155" i="24" s="1"/>
  <c r="BF192" i="24"/>
  <c r="AY192" i="24"/>
  <c r="AZ192" i="24" s="1"/>
  <c r="BG192" i="24"/>
  <c r="BT192" i="24" s="1"/>
  <c r="AY110" i="24"/>
  <c r="AZ110" i="24" s="1"/>
  <c r="BF110" i="24"/>
  <c r="BG110" i="24"/>
  <c r="BT110" i="24" s="1"/>
  <c r="BF114" i="24"/>
  <c r="BG114" i="24"/>
  <c r="BT114" i="24" s="1"/>
  <c r="AY114" i="24"/>
  <c r="AZ114" i="24" s="1"/>
  <c r="BS198" i="24"/>
  <c r="BW198" i="24" s="1"/>
  <c r="BI198" i="24"/>
  <c r="BI174" i="24"/>
  <c r="BS174" i="24"/>
  <c r="BW174" i="24" s="1"/>
  <c r="BS202" i="24"/>
  <c r="BW202" i="24" s="1"/>
  <c r="BI202" i="24"/>
  <c r="BS125" i="24"/>
  <c r="BW125" i="24" s="1"/>
  <c r="BI125" i="24"/>
  <c r="BS137" i="24"/>
  <c r="BW137" i="24" s="1"/>
  <c r="BI137" i="24"/>
  <c r="BS190" i="24"/>
  <c r="BI190" i="24"/>
  <c r="BN190" i="24" s="1"/>
  <c r="BS180" i="24"/>
  <c r="BW180" i="24" s="1"/>
  <c r="BI180" i="24"/>
  <c r="BS160" i="24"/>
  <c r="BW160" i="24" s="1"/>
  <c r="BI160" i="24"/>
  <c r="BS143" i="24"/>
  <c r="BW143" i="24" s="1"/>
  <c r="BI143" i="24"/>
  <c r="BS111" i="24"/>
  <c r="BW111" i="24" s="1"/>
  <c r="BI111" i="24"/>
  <c r="BS117" i="24"/>
  <c r="BW117" i="24" s="1"/>
  <c r="BI117" i="24"/>
  <c r="BS207" i="24"/>
  <c r="BW207" i="24" s="1"/>
  <c r="BI207" i="24"/>
  <c r="BS118" i="24"/>
  <c r="BW118" i="24" s="1"/>
  <c r="BI118" i="24"/>
  <c r="BS139" i="24"/>
  <c r="BW139" i="24" s="1"/>
  <c r="BI139" i="24"/>
  <c r="BS122" i="24"/>
  <c r="BW122" i="24" s="1"/>
  <c r="BI122" i="24"/>
  <c r="BH58" i="25"/>
  <c r="BY58" i="25" s="1"/>
  <c r="CA58" i="25" s="1"/>
  <c r="CB58" i="25" s="1"/>
  <c r="AZ88" i="24"/>
  <c r="AZ49" i="24"/>
  <c r="BF73" i="24"/>
  <c r="BS73" i="24" s="1"/>
  <c r="BG73" i="24"/>
  <c r="BT73" i="24" s="1"/>
  <c r="BG33" i="24"/>
  <c r="BT33" i="24" s="1"/>
  <c r="BF33" i="24"/>
  <c r="BI33" i="24" s="1"/>
  <c r="BN33" i="24" s="1"/>
  <c r="BF86" i="24"/>
  <c r="BI86" i="24" s="1"/>
  <c r="BN86" i="24" s="1"/>
  <c r="BS104" i="24"/>
  <c r="BX104" i="24" s="1"/>
  <c r="BZ104" i="24" s="1"/>
  <c r="BG51" i="24"/>
  <c r="BT51" i="24" s="1"/>
  <c r="BF51" i="24"/>
  <c r="BS51" i="24" s="1"/>
  <c r="BG27" i="24"/>
  <c r="BT27" i="24" s="1"/>
  <c r="BF97" i="24"/>
  <c r="BI97" i="24" s="1"/>
  <c r="BN97" i="24" s="1"/>
  <c r="BC105" i="24"/>
  <c r="B110" i="2" s="1"/>
  <c r="B111" i="2" s="1"/>
  <c r="BG86" i="24"/>
  <c r="BT86" i="24" s="1"/>
  <c r="BG23" i="24"/>
  <c r="BT23" i="24" s="1"/>
  <c r="BF23" i="24"/>
  <c r="BI23" i="24" s="1"/>
  <c r="BN23" i="24" s="1"/>
  <c r="BF64" i="24"/>
  <c r="BI64" i="24" s="1"/>
  <c r="BN64" i="24" s="1"/>
  <c r="BG97" i="24"/>
  <c r="BT97" i="24" s="1"/>
  <c r="BG64" i="24"/>
  <c r="BT64" i="24" s="1"/>
  <c r="BG49" i="24"/>
  <c r="BT49" i="24" s="1"/>
  <c r="BF27" i="24"/>
  <c r="BI27" i="24" s="1"/>
  <c r="BN27" i="24" s="1"/>
  <c r="AU49" i="24"/>
  <c r="BF49" i="24"/>
  <c r="BI49" i="24" s="1"/>
  <c r="BN49" i="24" s="1"/>
  <c r="BI69" i="24"/>
  <c r="BX69" i="24" s="1"/>
  <c r="BZ69" i="24" s="1"/>
  <c r="BF81" i="24"/>
  <c r="BS81" i="24" s="1"/>
  <c r="BG88" i="24"/>
  <c r="BT88" i="24" s="1"/>
  <c r="AU88" i="24"/>
  <c r="BF65" i="24"/>
  <c r="BI65" i="24" s="1"/>
  <c r="BN65" i="24" s="1"/>
  <c r="BG65" i="24"/>
  <c r="BT65" i="24" s="1"/>
  <c r="BF88" i="24"/>
  <c r="BI88" i="24" s="1"/>
  <c r="BN88" i="24" s="1"/>
  <c r="BG22" i="24"/>
  <c r="BT22" i="24" s="1"/>
  <c r="BW69" i="24"/>
  <c r="BF35" i="24"/>
  <c r="BS35" i="24" s="1"/>
  <c r="BG81" i="24"/>
  <c r="BT81" i="24" s="1"/>
  <c r="BG35" i="24"/>
  <c r="BT35" i="24" s="1"/>
  <c r="BS34" i="24"/>
  <c r="BW34" i="24" s="1"/>
  <c r="AW71" i="24"/>
  <c r="AU71" i="24"/>
  <c r="AU13" i="24"/>
  <c r="AW13" i="24"/>
  <c r="BF22" i="24"/>
  <c r="BI22" i="24" s="1"/>
  <c r="BN22" i="24" s="1"/>
  <c r="BX5" i="24"/>
  <c r="BZ5" i="24" s="1"/>
  <c r="CA5" i="24" s="1"/>
  <c r="AU15" i="24"/>
  <c r="AW15" i="24"/>
  <c r="AW102" i="24"/>
  <c r="AU102" i="24"/>
  <c r="AU48" i="24"/>
  <c r="AW48" i="24"/>
  <c r="AU93" i="24"/>
  <c r="AW93" i="24"/>
  <c r="AU94" i="24"/>
  <c r="AW94" i="24"/>
  <c r="AW37" i="24"/>
  <c r="AU37" i="24"/>
  <c r="AW8" i="24"/>
  <c r="AU8" i="24"/>
  <c r="AU44" i="24"/>
  <c r="AW44" i="24"/>
  <c r="AU77" i="24"/>
  <c r="AW77" i="24"/>
  <c r="AW80" i="24"/>
  <c r="AU80" i="24"/>
  <c r="AU38" i="24"/>
  <c r="AW38" i="24"/>
  <c r="AU24" i="24"/>
  <c r="AW24" i="24"/>
  <c r="AU45" i="24"/>
  <c r="AW45" i="24"/>
  <c r="AU103" i="24"/>
  <c r="AW103" i="24"/>
  <c r="AW47" i="24"/>
  <c r="AU47" i="24"/>
  <c r="AW66" i="24"/>
  <c r="AU66" i="24"/>
  <c r="AW62" i="24"/>
  <c r="AU62" i="24"/>
  <c r="AW30" i="24"/>
  <c r="AU30" i="24"/>
  <c r="AU99" i="24"/>
  <c r="AW99" i="24"/>
  <c r="AU75" i="24"/>
  <c r="AW75" i="24"/>
  <c r="AW61" i="24"/>
  <c r="AU61" i="24"/>
  <c r="AW20" i="24"/>
  <c r="AU20" i="24"/>
  <c r="AU90" i="24"/>
  <c r="AW90" i="24"/>
  <c r="AU52" i="24"/>
  <c r="AW52" i="24"/>
  <c r="AW39" i="24"/>
  <c r="AU39" i="24"/>
  <c r="AW26" i="24"/>
  <c r="AU26" i="24"/>
  <c r="AU9" i="24"/>
  <c r="AW9" i="24"/>
  <c r="AU84" i="24"/>
  <c r="AW84" i="24"/>
  <c r="AW58" i="24"/>
  <c r="AU58" i="24"/>
  <c r="AU57" i="24"/>
  <c r="AW57" i="24"/>
  <c r="AU17" i="24"/>
  <c r="AW17" i="24"/>
  <c r="AU76" i="24"/>
  <c r="AW76" i="24"/>
  <c r="AU11" i="24"/>
  <c r="AW11" i="24"/>
  <c r="AU67" i="24"/>
  <c r="AW67" i="24"/>
  <c r="AU12" i="24"/>
  <c r="AW12" i="24"/>
  <c r="AU98" i="24"/>
  <c r="AW98" i="24"/>
  <c r="AU16" i="24"/>
  <c r="AW16" i="24"/>
  <c r="AU6" i="24"/>
  <c r="AW6" i="24"/>
  <c r="AW7" i="24"/>
  <c r="AU7" i="24"/>
  <c r="BD5" i="25"/>
  <c r="BF5" i="25"/>
  <c r="BU5" i="25" s="1"/>
  <c r="BE5" i="25"/>
  <c r="BS40" i="24"/>
  <c r="BW40" i="24" s="1"/>
  <c r="BS95" i="25"/>
  <c r="BS85" i="25"/>
  <c r="BS18" i="25"/>
  <c r="BH90" i="25"/>
  <c r="BM90" i="25" s="1"/>
  <c r="BH98" i="25"/>
  <c r="BM98" i="25" s="1"/>
  <c r="BH55" i="25"/>
  <c r="BM55" i="25" s="1"/>
  <c r="BH33" i="25"/>
  <c r="BM33" i="25" s="1"/>
  <c r="BH65" i="25"/>
  <c r="BM65" i="25" s="1"/>
  <c r="BH60" i="25"/>
  <c r="BM60" i="25" s="1"/>
  <c r="BX58" i="25"/>
  <c r="BT52" i="25"/>
  <c r="BT74" i="25"/>
  <c r="BT27" i="25"/>
  <c r="BT42" i="25"/>
  <c r="BT102" i="25"/>
  <c r="BT77" i="25"/>
  <c r="BT26" i="25"/>
  <c r="BT105" i="25"/>
  <c r="BT39" i="25"/>
  <c r="BT60" i="25"/>
  <c r="BT98" i="25"/>
  <c r="BT92" i="25"/>
  <c r="BT94" i="25"/>
  <c r="BT91" i="25"/>
  <c r="BT67" i="25"/>
  <c r="BT64" i="25"/>
  <c r="BT41" i="25"/>
  <c r="BT79" i="25"/>
  <c r="BT76" i="25"/>
  <c r="BT11" i="25"/>
  <c r="BT104" i="25"/>
  <c r="BT96" i="25"/>
  <c r="BT24" i="25"/>
  <c r="BT51" i="25"/>
  <c r="BT47" i="25"/>
  <c r="BT46" i="25"/>
  <c r="BT8" i="25"/>
  <c r="BT50" i="25"/>
  <c r="BT49" i="25"/>
  <c r="BT56" i="25"/>
  <c r="BT34" i="25"/>
  <c r="BT70" i="25"/>
  <c r="BT18" i="25"/>
  <c r="BT65" i="25"/>
  <c r="BT57" i="25"/>
  <c r="BT66" i="25"/>
  <c r="BT43" i="25"/>
  <c r="BT84" i="25"/>
  <c r="BT13" i="25"/>
  <c r="BT35" i="25"/>
  <c r="BT36" i="25"/>
  <c r="BT25" i="25"/>
  <c r="BT63" i="25"/>
  <c r="BT28" i="25"/>
  <c r="BT40" i="25"/>
  <c r="BT37" i="25"/>
  <c r="BT33" i="25"/>
  <c r="BT10" i="25"/>
  <c r="BT20" i="25"/>
  <c r="BT97" i="25"/>
  <c r="BT45" i="25"/>
  <c r="BT82" i="25"/>
  <c r="BT61" i="25"/>
  <c r="BT69" i="25"/>
  <c r="BT75" i="25"/>
  <c r="BT80" i="25"/>
  <c r="BT83" i="25"/>
  <c r="BT93" i="25"/>
  <c r="BT78" i="25"/>
  <c r="BT100" i="25"/>
  <c r="BT103" i="25"/>
  <c r="BT88" i="25"/>
  <c r="BT71" i="25"/>
  <c r="BT48" i="25"/>
  <c r="BT86" i="25"/>
  <c r="BT81" i="25"/>
  <c r="BT90" i="25"/>
  <c r="BT95" i="25"/>
  <c r="BT23" i="25"/>
  <c r="BT14" i="25"/>
  <c r="BT68" i="25"/>
  <c r="BT9" i="25"/>
  <c r="BT62" i="25"/>
  <c r="BT87" i="25"/>
  <c r="BT30" i="25"/>
  <c r="BT53" i="25"/>
  <c r="BT17" i="25"/>
  <c r="BT19" i="25"/>
  <c r="BT44" i="25"/>
  <c r="BT12" i="25"/>
  <c r="BT72" i="25"/>
  <c r="BT15" i="25"/>
  <c r="BT16" i="25"/>
  <c r="BT59" i="25"/>
  <c r="BT38" i="25"/>
  <c r="BT31" i="25"/>
  <c r="BT22" i="25"/>
  <c r="BT101" i="25"/>
  <c r="BT29" i="25"/>
  <c r="BT54" i="25"/>
  <c r="BT89" i="25"/>
  <c r="BT21" i="25"/>
  <c r="BT55" i="25"/>
  <c r="BT32" i="25"/>
  <c r="BT99" i="25"/>
  <c r="BT73" i="25"/>
  <c r="BT85" i="25"/>
  <c r="BT7" i="25"/>
  <c r="BT6" i="25"/>
  <c r="BH43" i="25"/>
  <c r="BM43" i="25" s="1"/>
  <c r="BS57" i="25"/>
  <c r="BH73" i="25"/>
  <c r="BM73" i="25" s="1"/>
  <c r="BS66" i="25"/>
  <c r="BS84" i="25"/>
  <c r="BH32" i="25"/>
  <c r="BH99" i="25"/>
  <c r="BM99" i="25" s="1"/>
  <c r="BM66" i="25"/>
  <c r="BS45" i="25"/>
  <c r="BH45" i="25"/>
  <c r="BS23" i="25"/>
  <c r="BH23" i="25"/>
  <c r="BS36" i="25"/>
  <c r="BH36" i="25"/>
  <c r="BH6" i="25"/>
  <c r="BS6" i="25"/>
  <c r="BS21" i="25"/>
  <c r="BH21" i="25"/>
  <c r="BS92" i="25"/>
  <c r="BH92" i="25"/>
  <c r="BS94" i="25"/>
  <c r="BH94" i="25"/>
  <c r="BS91" i="25"/>
  <c r="BH91" i="25"/>
  <c r="BS67" i="25"/>
  <c r="BH67" i="25"/>
  <c r="BS19" i="25"/>
  <c r="BH19" i="25"/>
  <c r="BS64" i="25"/>
  <c r="BH64" i="25"/>
  <c r="BS15" i="25"/>
  <c r="BH15" i="25"/>
  <c r="BS59" i="25"/>
  <c r="BH59" i="25"/>
  <c r="BS38" i="25"/>
  <c r="BH38" i="25"/>
  <c r="BS104" i="25"/>
  <c r="BH104" i="25"/>
  <c r="BS96" i="25"/>
  <c r="BH96" i="25"/>
  <c r="BS24" i="25"/>
  <c r="BH24" i="25"/>
  <c r="BS46" i="25"/>
  <c r="BH46" i="25"/>
  <c r="BS8" i="25"/>
  <c r="BH8" i="25"/>
  <c r="BS54" i="25"/>
  <c r="BH54" i="25"/>
  <c r="BS89" i="25"/>
  <c r="BH89" i="25"/>
  <c r="BS86" i="25"/>
  <c r="BH86" i="25"/>
  <c r="BS81" i="25"/>
  <c r="BH81" i="25"/>
  <c r="BS52" i="25"/>
  <c r="BH52" i="25"/>
  <c r="BS13" i="25"/>
  <c r="BH13" i="25"/>
  <c r="BS20" i="25"/>
  <c r="BH20" i="25"/>
  <c r="BS97" i="25"/>
  <c r="BH97" i="25"/>
  <c r="BS74" i="25"/>
  <c r="BH74" i="25"/>
  <c r="BS35" i="25"/>
  <c r="BH35" i="25"/>
  <c r="BS61" i="25"/>
  <c r="BH61" i="25"/>
  <c r="BS69" i="25"/>
  <c r="BH69" i="25"/>
  <c r="BS75" i="25"/>
  <c r="BH75" i="25"/>
  <c r="BS80" i="25"/>
  <c r="BH80" i="25"/>
  <c r="BS83" i="25"/>
  <c r="BH83" i="25"/>
  <c r="BS25" i="25"/>
  <c r="BH25" i="25"/>
  <c r="BS68" i="25"/>
  <c r="BH68" i="25"/>
  <c r="BS77" i="25"/>
  <c r="BH77" i="25"/>
  <c r="BS63" i="25"/>
  <c r="BH63" i="25"/>
  <c r="BH9" i="25"/>
  <c r="BS9" i="25"/>
  <c r="BS28" i="25"/>
  <c r="BH28" i="25"/>
  <c r="BS26" i="25"/>
  <c r="BH26" i="25"/>
  <c r="BS62" i="25"/>
  <c r="BH62" i="25"/>
  <c r="BS105" i="25"/>
  <c r="BH105" i="25"/>
  <c r="BM57" i="25"/>
  <c r="BS71" i="25"/>
  <c r="BH71" i="25"/>
  <c r="BM18" i="25"/>
  <c r="BM95" i="25"/>
  <c r="BS48" i="25"/>
  <c r="BH48" i="25"/>
  <c r="BS56" i="25"/>
  <c r="BH56" i="25"/>
  <c r="BS34" i="25"/>
  <c r="BH34" i="25"/>
  <c r="BS70" i="25"/>
  <c r="BH70" i="25"/>
  <c r="BS10" i="25"/>
  <c r="BH10" i="25"/>
  <c r="BS82" i="25"/>
  <c r="BH82" i="25"/>
  <c r="BM84" i="25"/>
  <c r="BS27" i="25"/>
  <c r="BH27" i="25"/>
  <c r="BS42" i="25"/>
  <c r="BH42" i="25"/>
  <c r="BS14" i="25"/>
  <c r="BH14" i="25"/>
  <c r="BS102" i="25"/>
  <c r="BH102" i="25"/>
  <c r="BS93" i="25"/>
  <c r="BH93" i="25"/>
  <c r="BS78" i="25"/>
  <c r="BH78" i="25"/>
  <c r="BS100" i="25"/>
  <c r="BH100" i="25"/>
  <c r="BS103" i="25"/>
  <c r="BH103" i="25"/>
  <c r="BS88" i="25"/>
  <c r="BH88" i="25"/>
  <c r="BS40" i="25"/>
  <c r="BH40" i="25"/>
  <c r="BS39" i="25"/>
  <c r="BH39" i="25"/>
  <c r="BS37" i="25"/>
  <c r="BH37" i="25"/>
  <c r="BM85" i="25"/>
  <c r="BS17" i="25"/>
  <c r="BH17" i="25"/>
  <c r="BS16" i="25"/>
  <c r="BH16" i="25"/>
  <c r="BS51" i="25"/>
  <c r="BH51" i="25"/>
  <c r="BS47" i="25"/>
  <c r="BH47" i="25"/>
  <c r="BH7" i="25"/>
  <c r="BS7" i="25"/>
  <c r="BS30" i="25"/>
  <c r="BH30" i="25"/>
  <c r="BS53" i="25"/>
  <c r="BH53" i="25"/>
  <c r="BS44" i="25"/>
  <c r="BH44" i="25"/>
  <c r="BS12" i="25"/>
  <c r="BH12" i="25"/>
  <c r="BS72" i="25"/>
  <c r="BH72" i="25"/>
  <c r="BS41" i="25"/>
  <c r="BH41" i="25"/>
  <c r="BS79" i="25"/>
  <c r="BH79" i="25"/>
  <c r="BS76" i="25"/>
  <c r="BH76" i="25"/>
  <c r="BS11" i="25"/>
  <c r="BH11" i="25"/>
  <c r="BS31" i="25"/>
  <c r="BH31" i="25"/>
  <c r="BS22" i="25"/>
  <c r="BH22" i="25"/>
  <c r="BS101" i="25"/>
  <c r="BH101" i="25"/>
  <c r="BS29" i="25"/>
  <c r="BH29" i="25"/>
  <c r="BS50" i="25"/>
  <c r="BH50" i="25"/>
  <c r="BS49" i="25"/>
  <c r="BH49" i="25"/>
  <c r="BS87" i="25"/>
  <c r="BH87" i="25"/>
  <c r="BW56" i="24"/>
  <c r="BW31" i="24"/>
  <c r="BW18" i="24"/>
  <c r="BW50" i="24"/>
  <c r="BW101" i="24"/>
  <c r="BW10" i="24"/>
  <c r="BW70" i="24"/>
  <c r="BW25" i="24"/>
  <c r="BW72" i="24"/>
  <c r="BW83" i="24"/>
  <c r="BW46" i="24"/>
  <c r="BW100" i="24"/>
  <c r="BW60" i="24"/>
  <c r="BW19" i="24"/>
  <c r="BW42" i="24"/>
  <c r="BW63" i="24"/>
  <c r="BW55" i="24"/>
  <c r="BW28" i="24"/>
  <c r="BN79" i="24"/>
  <c r="BN41" i="24"/>
  <c r="BN54" i="24"/>
  <c r="BN14" i="24"/>
  <c r="BN95" i="24"/>
  <c r="BX32" i="24"/>
  <c r="BZ32" i="24" s="1"/>
  <c r="CA32" i="24" s="1"/>
  <c r="BN89" i="24"/>
  <c r="BN74" i="24"/>
  <c r="BN87" i="24"/>
  <c r="BN96" i="24"/>
  <c r="BN78" i="24"/>
  <c r="BN91" i="24"/>
  <c r="BN29" i="24"/>
  <c r="BN82" i="24"/>
  <c r="BN59" i="24"/>
  <c r="BN36" i="24"/>
  <c r="BN105" i="24"/>
  <c r="BN92" i="24"/>
  <c r="BN68" i="24"/>
  <c r="BN21" i="24"/>
  <c r="BN85" i="24"/>
  <c r="BX53" i="24"/>
  <c r="BZ53" i="24" s="1"/>
  <c r="BS79" i="24"/>
  <c r="BW79" i="24" s="1"/>
  <c r="BI100" i="24"/>
  <c r="BS54" i="24"/>
  <c r="BW54" i="24" s="1"/>
  <c r="BS14" i="24"/>
  <c r="BW14" i="24" s="1"/>
  <c r="BS95" i="24"/>
  <c r="BW95" i="24" s="1"/>
  <c r="BI83" i="24"/>
  <c r="BI50" i="24"/>
  <c r="BI70" i="24"/>
  <c r="BI25" i="24"/>
  <c r="BI60" i="24"/>
  <c r="BI42" i="24"/>
  <c r="BI55" i="24"/>
  <c r="BI28" i="24"/>
  <c r="BI10" i="24"/>
  <c r="BI101" i="24"/>
  <c r="BI19" i="24"/>
  <c r="BI63" i="24"/>
  <c r="BS41" i="24"/>
  <c r="BW41" i="24" s="1"/>
  <c r="BI72" i="24"/>
  <c r="BI46" i="24"/>
  <c r="BS91" i="24"/>
  <c r="BW91" i="24" s="1"/>
  <c r="BS29" i="24"/>
  <c r="BW29" i="24" s="1"/>
  <c r="BS59" i="24"/>
  <c r="BW59" i="24" s="1"/>
  <c r="BS85" i="24"/>
  <c r="BW85" i="24" s="1"/>
  <c r="BS96" i="24"/>
  <c r="BW96" i="24" s="1"/>
  <c r="BI31" i="24"/>
  <c r="BI56" i="24"/>
  <c r="BI18" i="24"/>
  <c r="BS82" i="24"/>
  <c r="BW82" i="24" s="1"/>
  <c r="BS36" i="24"/>
  <c r="BW36" i="24" s="1"/>
  <c r="BS92" i="24"/>
  <c r="BW92" i="24" s="1"/>
  <c r="BS68" i="24"/>
  <c r="BW68" i="24" s="1"/>
  <c r="BS87" i="24"/>
  <c r="BW87" i="24" s="1"/>
  <c r="BS74" i="24"/>
  <c r="BW74" i="24" s="1"/>
  <c r="BS78" i="24"/>
  <c r="BW78" i="24" s="1"/>
  <c r="BS105" i="24"/>
  <c r="L16" i="1" s="1"/>
  <c r="BS21" i="24"/>
  <c r="BW21" i="24" s="1"/>
  <c r="BS89" i="24"/>
  <c r="BW89" i="24" s="1"/>
  <c r="AZ106" i="19"/>
  <c r="BL106" i="19" s="1"/>
  <c r="BM106" i="19" s="1"/>
  <c r="BZ106" i="19" s="1"/>
  <c r="BK106" i="19"/>
  <c r="B250" i="2"/>
  <c r="BI106" i="19"/>
  <c r="BJ106" i="19"/>
  <c r="BC106" i="19"/>
  <c r="BB106" i="19"/>
  <c r="BD106" i="19"/>
  <c r="BG106" i="19"/>
  <c r="BU106" i="19"/>
  <c r="CA106" i="19" s="1"/>
  <c r="BH106" i="19"/>
  <c r="BA106" i="19"/>
  <c r="BF106" i="19"/>
  <c r="BS106" i="19"/>
  <c r="BE106" i="19"/>
  <c r="BX184" i="25" l="1"/>
  <c r="BX210" i="25"/>
  <c r="BX125" i="25"/>
  <c r="BS22" i="24"/>
  <c r="BX22" i="24" s="1"/>
  <c r="BZ22" i="24" s="1"/>
  <c r="CA22" i="24" s="1"/>
  <c r="B121" i="2"/>
  <c r="E19" i="1" s="1"/>
  <c r="BC39" i="24"/>
  <c r="BD39" i="24"/>
  <c r="BC26" i="24"/>
  <c r="BD26" i="24"/>
  <c r="BC20" i="24"/>
  <c r="BD20" i="24"/>
  <c r="BC30" i="24"/>
  <c r="BD30" i="24"/>
  <c r="BC80" i="24"/>
  <c r="BD80" i="24"/>
  <c r="BC37" i="24"/>
  <c r="BD37" i="24"/>
  <c r="BC102" i="24"/>
  <c r="BD102" i="24"/>
  <c r="BC71" i="24"/>
  <c r="BD71" i="24"/>
  <c r="BC49" i="24"/>
  <c r="BD49" i="24"/>
  <c r="BC62" i="24"/>
  <c r="BD62" i="24"/>
  <c r="BC6" i="24"/>
  <c r="BD6" i="24"/>
  <c r="BC67" i="24"/>
  <c r="BD67" i="24"/>
  <c r="BC57" i="24"/>
  <c r="BD57" i="24"/>
  <c r="BC103" i="24"/>
  <c r="BD103" i="24"/>
  <c r="BC61" i="24"/>
  <c r="BD61" i="24"/>
  <c r="BC16" i="24"/>
  <c r="BD16" i="24"/>
  <c r="BC11" i="24"/>
  <c r="BD11" i="24"/>
  <c r="BC45" i="24"/>
  <c r="BD45" i="24"/>
  <c r="BC77" i="24"/>
  <c r="BD77" i="24"/>
  <c r="BC94" i="24"/>
  <c r="BD94" i="24"/>
  <c r="BC15" i="24"/>
  <c r="BD15" i="24"/>
  <c r="BC88" i="24"/>
  <c r="BD88" i="24"/>
  <c r="BC66" i="24"/>
  <c r="BD66" i="24"/>
  <c r="BC98" i="24"/>
  <c r="BD98" i="24"/>
  <c r="BC76" i="24"/>
  <c r="BD76" i="24"/>
  <c r="BC84" i="24"/>
  <c r="BD84" i="24"/>
  <c r="BC52" i="24"/>
  <c r="BD52" i="24"/>
  <c r="BC75" i="24"/>
  <c r="BD75" i="24"/>
  <c r="BC24" i="24"/>
  <c r="BD24" i="24"/>
  <c r="BC44" i="24"/>
  <c r="BD44" i="24"/>
  <c r="BC93" i="24"/>
  <c r="BD93" i="24"/>
  <c r="BC58" i="24"/>
  <c r="BD58" i="24"/>
  <c r="BC7" i="24"/>
  <c r="BD7" i="24"/>
  <c r="BC47" i="24"/>
  <c r="BD47" i="24"/>
  <c r="BC8" i="24"/>
  <c r="BD8" i="24"/>
  <c r="BC12" i="24"/>
  <c r="BD12" i="24"/>
  <c r="BC17" i="24"/>
  <c r="BD17" i="24"/>
  <c r="BC9" i="24"/>
  <c r="BD9" i="24"/>
  <c r="BC90" i="24"/>
  <c r="BD90" i="24"/>
  <c r="BC99" i="24"/>
  <c r="BD99" i="24"/>
  <c r="BC38" i="24"/>
  <c r="BD38" i="24"/>
  <c r="BC48" i="24"/>
  <c r="BD48" i="24"/>
  <c r="BC13" i="24"/>
  <c r="BD13" i="24"/>
  <c r="E16" i="1"/>
  <c r="BG43" i="24"/>
  <c r="BT43" i="24" s="1"/>
  <c r="BF43" i="24"/>
  <c r="BS43" i="24" s="1"/>
  <c r="CA53" i="24"/>
  <c r="CE53" i="24"/>
  <c r="CA104" i="24"/>
  <c r="CE104" i="24"/>
  <c r="BW105" i="24"/>
  <c r="BI166" i="24"/>
  <c r="BX166" i="24" s="1"/>
  <c r="BZ166" i="24" s="1"/>
  <c r="CA166" i="24" s="1"/>
  <c r="BW133" i="24"/>
  <c r="CA69" i="24"/>
  <c r="CE69" i="24"/>
  <c r="BW166" i="24"/>
  <c r="BS165" i="24"/>
  <c r="BW165" i="24" s="1"/>
  <c r="BI167" i="24"/>
  <c r="BN167" i="24" s="1"/>
  <c r="BM171" i="25"/>
  <c r="BY171" i="25"/>
  <c r="CA171" i="25" s="1"/>
  <c r="BM154" i="25"/>
  <c r="BY154" i="25"/>
  <c r="CA154" i="25" s="1"/>
  <c r="BY147" i="25"/>
  <c r="CA147" i="25" s="1"/>
  <c r="BM147" i="25"/>
  <c r="BY139" i="25"/>
  <c r="CA139" i="25" s="1"/>
  <c r="BM139" i="25"/>
  <c r="BY115" i="25"/>
  <c r="CA115" i="25" s="1"/>
  <c r="CB115" i="25" s="1"/>
  <c r="BM115" i="25"/>
  <c r="BY200" i="25"/>
  <c r="CA200" i="25" s="1"/>
  <c r="BM200" i="25"/>
  <c r="BY134" i="25"/>
  <c r="CA134" i="25" s="1"/>
  <c r="BM134" i="25"/>
  <c r="BM126" i="25"/>
  <c r="BY126" i="25"/>
  <c r="CA126" i="25" s="1"/>
  <c r="BM132" i="25"/>
  <c r="BY132" i="25"/>
  <c r="CA132" i="25" s="1"/>
  <c r="CB132" i="25" s="1"/>
  <c r="BM156" i="25"/>
  <c r="BY156" i="25"/>
  <c r="CA156" i="25" s="1"/>
  <c r="BY128" i="25"/>
  <c r="CA128" i="25" s="1"/>
  <c r="CB128" i="25" s="1"/>
  <c r="BM128" i="25"/>
  <c r="BM173" i="25"/>
  <c r="BY173" i="25"/>
  <c r="CA173" i="25" s="1"/>
  <c r="BM127" i="25"/>
  <c r="BY127" i="25"/>
  <c r="CA127" i="25" s="1"/>
  <c r="BM186" i="25"/>
  <c r="BY186" i="25"/>
  <c r="CA186" i="25" s="1"/>
  <c r="BM166" i="25"/>
  <c r="BY166" i="25"/>
  <c r="CA166" i="25" s="1"/>
  <c r="BM184" i="25"/>
  <c r="BY184" i="25"/>
  <c r="CA184" i="25" s="1"/>
  <c r="BM157" i="25"/>
  <c r="BY157" i="25"/>
  <c r="CA157" i="25" s="1"/>
  <c r="BY124" i="25"/>
  <c r="CA124" i="25" s="1"/>
  <c r="BM124" i="25"/>
  <c r="BY176" i="25"/>
  <c r="CA176" i="25" s="1"/>
  <c r="BM176" i="25"/>
  <c r="BM172" i="25"/>
  <c r="BY172" i="25"/>
  <c r="CA172" i="25" s="1"/>
  <c r="BM203" i="25"/>
  <c r="BY203" i="25"/>
  <c r="CA203" i="25" s="1"/>
  <c r="BM113" i="25"/>
  <c r="BY113" i="25"/>
  <c r="CA113" i="25" s="1"/>
  <c r="CB113" i="25" s="1"/>
  <c r="BY131" i="25"/>
  <c r="CA131" i="25" s="1"/>
  <c r="BM131" i="25"/>
  <c r="BM178" i="25"/>
  <c r="BY178" i="25"/>
  <c r="CA178" i="25" s="1"/>
  <c r="BM121" i="25"/>
  <c r="BY121" i="25"/>
  <c r="CA121" i="25" s="1"/>
  <c r="BS110" i="25"/>
  <c r="BX110" i="25" s="1"/>
  <c r="BH110" i="25"/>
  <c r="BM129" i="25"/>
  <c r="BY129" i="25"/>
  <c r="CA129" i="25" s="1"/>
  <c r="BM183" i="25"/>
  <c r="BY183" i="25"/>
  <c r="CA183" i="25" s="1"/>
  <c r="BY161" i="25"/>
  <c r="CA161" i="25" s="1"/>
  <c r="BM161" i="25"/>
  <c r="BY133" i="25"/>
  <c r="CA133" i="25" s="1"/>
  <c r="BM133" i="25"/>
  <c r="BY193" i="25"/>
  <c r="CA193" i="25" s="1"/>
  <c r="BM193" i="25"/>
  <c r="BM138" i="25"/>
  <c r="BY138" i="25"/>
  <c r="CA138" i="25" s="1"/>
  <c r="BY144" i="25"/>
  <c r="CA144" i="25" s="1"/>
  <c r="BM144" i="25"/>
  <c r="BY125" i="25"/>
  <c r="CA125" i="25" s="1"/>
  <c r="CB125" i="25" s="1"/>
  <c r="BM125" i="25"/>
  <c r="BM164" i="25"/>
  <c r="BY164" i="25"/>
  <c r="CA164" i="25" s="1"/>
  <c r="BY197" i="25"/>
  <c r="CA197" i="25" s="1"/>
  <c r="BM197" i="25"/>
  <c r="BY112" i="25"/>
  <c r="CA112" i="25" s="1"/>
  <c r="CB112" i="25" s="1"/>
  <c r="BM112" i="25"/>
  <c r="BM119" i="25"/>
  <c r="BY119" i="25"/>
  <c r="CA119" i="25" s="1"/>
  <c r="BM206" i="25"/>
  <c r="BY206" i="25"/>
  <c r="CA206" i="25" s="1"/>
  <c r="BY114" i="25"/>
  <c r="CA114" i="25" s="1"/>
  <c r="CB114" i="25" s="1"/>
  <c r="BM114" i="25"/>
  <c r="BM137" i="25"/>
  <c r="BY137" i="25"/>
  <c r="CA137" i="25" s="1"/>
  <c r="BY136" i="25"/>
  <c r="CA136" i="25" s="1"/>
  <c r="BM136" i="25"/>
  <c r="BM165" i="25"/>
  <c r="BY165" i="25"/>
  <c r="CA165" i="25" s="1"/>
  <c r="BM185" i="25"/>
  <c r="BY185" i="25"/>
  <c r="CA185" i="25" s="1"/>
  <c r="BY141" i="25"/>
  <c r="CA141" i="25" s="1"/>
  <c r="BM141" i="25"/>
  <c r="BM201" i="25"/>
  <c r="BY201" i="25"/>
  <c r="CA201" i="25" s="1"/>
  <c r="BY174" i="25"/>
  <c r="CA174" i="25" s="1"/>
  <c r="BM174" i="25"/>
  <c r="BY140" i="25"/>
  <c r="CA140" i="25" s="1"/>
  <c r="BM140" i="25"/>
  <c r="BY120" i="25"/>
  <c r="CA120" i="25" s="1"/>
  <c r="BM120" i="25"/>
  <c r="BM148" i="25"/>
  <c r="BY148" i="25"/>
  <c r="CA148" i="25" s="1"/>
  <c r="BY192" i="25"/>
  <c r="CA192" i="25" s="1"/>
  <c r="BM192" i="25"/>
  <c r="BM117" i="25"/>
  <c r="BY117" i="25"/>
  <c r="CA117" i="25" s="1"/>
  <c r="CB117" i="25" s="1"/>
  <c r="BY181" i="25"/>
  <c r="CA181" i="25" s="1"/>
  <c r="BM181" i="25"/>
  <c r="BY116" i="25"/>
  <c r="CA116" i="25" s="1"/>
  <c r="CB116" i="25" s="1"/>
  <c r="BM116" i="25"/>
  <c r="BM123" i="25"/>
  <c r="BY123" i="25"/>
  <c r="CA123" i="25" s="1"/>
  <c r="CB123" i="25" s="1"/>
  <c r="BY170" i="25"/>
  <c r="CA170" i="25" s="1"/>
  <c r="BM170" i="25"/>
  <c r="BY122" i="25"/>
  <c r="CA122" i="25" s="1"/>
  <c r="CB122" i="25" s="1"/>
  <c r="BM122" i="25"/>
  <c r="BY210" i="25"/>
  <c r="CA210" i="25" s="1"/>
  <c r="BM210" i="25"/>
  <c r="BM158" i="25"/>
  <c r="BY158" i="25"/>
  <c r="CA158" i="25" s="1"/>
  <c r="BM163" i="25"/>
  <c r="BY163" i="25"/>
  <c r="CA163" i="25" s="1"/>
  <c r="BM111" i="25"/>
  <c r="BY111" i="25"/>
  <c r="CA111" i="25" s="1"/>
  <c r="CB111" i="25" s="1"/>
  <c r="BM159" i="25"/>
  <c r="BY159" i="25"/>
  <c r="CA159" i="25" s="1"/>
  <c r="BY160" i="25"/>
  <c r="CA160" i="25" s="1"/>
  <c r="BM168" i="25"/>
  <c r="BY168" i="25"/>
  <c r="CA168" i="25" s="1"/>
  <c r="BM191" i="25"/>
  <c r="BY191" i="25"/>
  <c r="CA191" i="25" s="1"/>
  <c r="BM142" i="25"/>
  <c r="BY142" i="25"/>
  <c r="CA142" i="25" s="1"/>
  <c r="BM145" i="25"/>
  <c r="BY145" i="25"/>
  <c r="CA145" i="25" s="1"/>
  <c r="BY180" i="25"/>
  <c r="CA180" i="25" s="1"/>
  <c r="BM180" i="25"/>
  <c r="BY204" i="25"/>
  <c r="CA204" i="25" s="1"/>
  <c r="BM204" i="25"/>
  <c r="BY188" i="25"/>
  <c r="CA188" i="25" s="1"/>
  <c r="BM188" i="25"/>
  <c r="BM155" i="25"/>
  <c r="BY155" i="25"/>
  <c r="CA155" i="25" s="1"/>
  <c r="BY187" i="25"/>
  <c r="CA187" i="25" s="1"/>
  <c r="BM187" i="25"/>
  <c r="BY167" i="25"/>
  <c r="CA167" i="25" s="1"/>
  <c r="BM167" i="25"/>
  <c r="BM169" i="25"/>
  <c r="BY169" i="25"/>
  <c r="CA169" i="25" s="1"/>
  <c r="BM150" i="25"/>
  <c r="BY150" i="25"/>
  <c r="CA150" i="25" s="1"/>
  <c r="BM146" i="25"/>
  <c r="BY146" i="25"/>
  <c r="CA146" i="25" s="1"/>
  <c r="BM179" i="25"/>
  <c r="BY179" i="25"/>
  <c r="CA179" i="25" s="1"/>
  <c r="BY151" i="25"/>
  <c r="CA151" i="25" s="1"/>
  <c r="BM151" i="25"/>
  <c r="BY153" i="25"/>
  <c r="CA153" i="25" s="1"/>
  <c r="BM153" i="25"/>
  <c r="BY149" i="25"/>
  <c r="CA149" i="25" s="1"/>
  <c r="BM149" i="25"/>
  <c r="BM199" i="25"/>
  <c r="BY199" i="25"/>
  <c r="CA199" i="25" s="1"/>
  <c r="BY196" i="25"/>
  <c r="CA196" i="25" s="1"/>
  <c r="BM196" i="25"/>
  <c r="BY205" i="25"/>
  <c r="CA205" i="25" s="1"/>
  <c r="BM205" i="25"/>
  <c r="BM195" i="25"/>
  <c r="BY195" i="25"/>
  <c r="CA195" i="25" s="1"/>
  <c r="BY190" i="25"/>
  <c r="CA190" i="25" s="1"/>
  <c r="BM190" i="25"/>
  <c r="BY194" i="25"/>
  <c r="CA194" i="25" s="1"/>
  <c r="BM194" i="25"/>
  <c r="BM135" i="25"/>
  <c r="BY135" i="25"/>
  <c r="CA135" i="25" s="1"/>
  <c r="BM177" i="25"/>
  <c r="BY177" i="25"/>
  <c r="CA177" i="25" s="1"/>
  <c r="BY209" i="25"/>
  <c r="CA209" i="25" s="1"/>
  <c r="BM209" i="25"/>
  <c r="BY118" i="25"/>
  <c r="CA118" i="25" s="1"/>
  <c r="CB118" i="25" s="1"/>
  <c r="BM118" i="25"/>
  <c r="BY182" i="25"/>
  <c r="CA182" i="25" s="1"/>
  <c r="BM182" i="25"/>
  <c r="BY208" i="25"/>
  <c r="CA208" i="25" s="1"/>
  <c r="BM208" i="25"/>
  <c r="BY130" i="25"/>
  <c r="CA130" i="25" s="1"/>
  <c r="BM130" i="25"/>
  <c r="BM207" i="25"/>
  <c r="BY207" i="25"/>
  <c r="CA207" i="25" s="1"/>
  <c r="BY162" i="25"/>
  <c r="CA162" i="25" s="1"/>
  <c r="BM162" i="25"/>
  <c r="BM143" i="25"/>
  <c r="BY143" i="25"/>
  <c r="CA143" i="25" s="1"/>
  <c r="BY202" i="25"/>
  <c r="CA202" i="25" s="1"/>
  <c r="BM202" i="25"/>
  <c r="BY198" i="25"/>
  <c r="CA198" i="25" s="1"/>
  <c r="BM198" i="25"/>
  <c r="BM189" i="25"/>
  <c r="BY189" i="25"/>
  <c r="CA189" i="25" s="1"/>
  <c r="BM175" i="25"/>
  <c r="BY175" i="25"/>
  <c r="CA175" i="25" s="1"/>
  <c r="BM152" i="25"/>
  <c r="BY152" i="25"/>
  <c r="CA152" i="25" s="1"/>
  <c r="BI115" i="24"/>
  <c r="BN115" i="24" s="1"/>
  <c r="BX122" i="24"/>
  <c r="BZ122" i="24" s="1"/>
  <c r="BN122" i="24"/>
  <c r="BX118" i="24"/>
  <c r="BZ118" i="24" s="1"/>
  <c r="CA118" i="24" s="1"/>
  <c r="BN118" i="24"/>
  <c r="BN111" i="24"/>
  <c r="BX111" i="24"/>
  <c r="BZ111" i="24" s="1"/>
  <c r="CA111" i="24" s="1"/>
  <c r="BX125" i="24"/>
  <c r="BZ125" i="24" s="1"/>
  <c r="CA125" i="24" s="1"/>
  <c r="BN125" i="24"/>
  <c r="BS110" i="24"/>
  <c r="BW110" i="24" s="1"/>
  <c r="BI110" i="24"/>
  <c r="BS192" i="24"/>
  <c r="BW192" i="24" s="1"/>
  <c r="BI192" i="24"/>
  <c r="BX142" i="24"/>
  <c r="BZ142" i="24" s="1"/>
  <c r="BN142" i="24"/>
  <c r="BS130" i="24"/>
  <c r="BW130" i="24" s="1"/>
  <c r="BI130" i="24"/>
  <c r="BX120" i="24"/>
  <c r="BZ120" i="24" s="1"/>
  <c r="BN120" i="24"/>
  <c r="BX154" i="24"/>
  <c r="BZ154" i="24" s="1"/>
  <c r="BN154" i="24"/>
  <c r="BX204" i="24"/>
  <c r="BZ204" i="24" s="1"/>
  <c r="BN204" i="24"/>
  <c r="BX162" i="24"/>
  <c r="BZ162" i="24" s="1"/>
  <c r="BN162" i="24"/>
  <c r="BX121" i="24"/>
  <c r="BZ121" i="24" s="1"/>
  <c r="BN121" i="24"/>
  <c r="BX173" i="24"/>
  <c r="BZ173" i="24" s="1"/>
  <c r="BN173" i="24"/>
  <c r="BI208" i="24"/>
  <c r="BS208" i="24"/>
  <c r="BW208" i="24" s="1"/>
  <c r="BS210" i="24"/>
  <c r="BI210" i="24"/>
  <c r="BX133" i="24"/>
  <c r="BZ133" i="24" s="1"/>
  <c r="BN133" i="24"/>
  <c r="BX184" i="24"/>
  <c r="BZ184" i="24" s="1"/>
  <c r="BN184" i="24"/>
  <c r="BX138" i="24"/>
  <c r="BZ138" i="24" s="1"/>
  <c r="BN138" i="24"/>
  <c r="BS206" i="24"/>
  <c r="BW206" i="24" s="1"/>
  <c r="BI206" i="24"/>
  <c r="BS123" i="24"/>
  <c r="BW123" i="24" s="1"/>
  <c r="BI123" i="24"/>
  <c r="BX200" i="24"/>
  <c r="BZ200" i="24" s="1"/>
  <c r="BN200" i="24"/>
  <c r="BS161" i="24"/>
  <c r="BW161" i="24" s="1"/>
  <c r="BI161" i="24"/>
  <c r="BX178" i="24"/>
  <c r="BZ178" i="24" s="1"/>
  <c r="CA178" i="24" s="1"/>
  <c r="BN178" i="24"/>
  <c r="BX201" i="24"/>
  <c r="BZ201" i="24" s="1"/>
  <c r="BN201" i="24"/>
  <c r="BS176" i="24"/>
  <c r="BW176" i="24" s="1"/>
  <c r="BI176" i="24"/>
  <c r="BX185" i="24"/>
  <c r="BZ185" i="24" s="1"/>
  <c r="BW185" i="24"/>
  <c r="BX170" i="24"/>
  <c r="BZ170" i="24" s="1"/>
  <c r="BN170" i="24"/>
  <c r="BS159" i="24"/>
  <c r="BW159" i="24" s="1"/>
  <c r="BI159" i="24"/>
  <c r="BS181" i="24"/>
  <c r="BI181" i="24"/>
  <c r="BN181" i="24" s="1"/>
  <c r="BS136" i="24"/>
  <c r="BW136" i="24" s="1"/>
  <c r="BI136" i="24"/>
  <c r="BX116" i="24"/>
  <c r="BZ116" i="24" s="1"/>
  <c r="CA116" i="24" s="1"/>
  <c r="BN116" i="24"/>
  <c r="BX158" i="24"/>
  <c r="BZ158" i="24" s="1"/>
  <c r="CA158" i="24" s="1"/>
  <c r="BN158" i="24"/>
  <c r="BN131" i="24"/>
  <c r="BX131" i="24"/>
  <c r="BZ131" i="24" s="1"/>
  <c r="CA131" i="24" s="1"/>
  <c r="BX128" i="24"/>
  <c r="BZ128" i="24" s="1"/>
  <c r="CA128" i="24" s="1"/>
  <c r="BN128" i="24"/>
  <c r="BN147" i="24"/>
  <c r="BX147" i="24"/>
  <c r="BZ147" i="24" s="1"/>
  <c r="BN127" i="24"/>
  <c r="BX127" i="24"/>
  <c r="BZ127" i="24" s="1"/>
  <c r="BS199" i="24"/>
  <c r="BW199" i="24" s="1"/>
  <c r="BI199" i="24"/>
  <c r="BS194" i="24"/>
  <c r="BW194" i="24" s="1"/>
  <c r="BI194" i="24"/>
  <c r="BN139" i="24"/>
  <c r="BX139" i="24"/>
  <c r="BZ139" i="24" s="1"/>
  <c r="BN207" i="24"/>
  <c r="BX207" i="24"/>
  <c r="BZ207" i="24" s="1"/>
  <c r="BN143" i="24"/>
  <c r="BX143" i="24"/>
  <c r="BZ143" i="24" s="1"/>
  <c r="BX180" i="24"/>
  <c r="BZ180" i="24" s="1"/>
  <c r="BN180" i="24"/>
  <c r="BX137" i="24"/>
  <c r="BZ137" i="24" s="1"/>
  <c r="CA137" i="24" s="1"/>
  <c r="BN137" i="24"/>
  <c r="BX202" i="24"/>
  <c r="BZ202" i="24" s="1"/>
  <c r="BN202" i="24"/>
  <c r="BX198" i="24"/>
  <c r="BZ198" i="24" s="1"/>
  <c r="BN198" i="24"/>
  <c r="BS114" i="24"/>
  <c r="BW114" i="24" s="1"/>
  <c r="BI114" i="24"/>
  <c r="BS155" i="24"/>
  <c r="BW155" i="24" s="1"/>
  <c r="BI155" i="24"/>
  <c r="BX146" i="24"/>
  <c r="BZ146" i="24" s="1"/>
  <c r="BN146" i="24"/>
  <c r="BS189" i="24"/>
  <c r="BI189" i="24"/>
  <c r="BN189" i="24" s="1"/>
  <c r="BX145" i="24"/>
  <c r="BZ145" i="24" s="1"/>
  <c r="BN145" i="24"/>
  <c r="BN175" i="24"/>
  <c r="BX175" i="24"/>
  <c r="BZ175" i="24" s="1"/>
  <c r="BX124" i="24"/>
  <c r="BZ124" i="24" s="1"/>
  <c r="CA124" i="24" s="1"/>
  <c r="BN124" i="24"/>
  <c r="BX132" i="24"/>
  <c r="BZ132" i="24" s="1"/>
  <c r="BN132" i="24"/>
  <c r="BN179" i="24"/>
  <c r="BX179" i="24"/>
  <c r="BZ179" i="24" s="1"/>
  <c r="BX177" i="24"/>
  <c r="BZ177" i="24" s="1"/>
  <c r="BN177" i="24"/>
  <c r="BN171" i="24"/>
  <c r="BX171" i="24"/>
  <c r="BZ171" i="24" s="1"/>
  <c r="BX197" i="24"/>
  <c r="BZ197" i="24" s="1"/>
  <c r="BN197" i="24"/>
  <c r="BX113" i="24"/>
  <c r="BZ113" i="24" s="1"/>
  <c r="CA113" i="24" s="1"/>
  <c r="BN113" i="24"/>
  <c r="BX140" i="24"/>
  <c r="BZ140" i="24" s="1"/>
  <c r="BN140" i="24"/>
  <c r="BX150" i="24"/>
  <c r="BZ150" i="24" s="1"/>
  <c r="BN150" i="24"/>
  <c r="BS182" i="24"/>
  <c r="BI182" i="24"/>
  <c r="BN182" i="24" s="1"/>
  <c r="BS195" i="24"/>
  <c r="BW195" i="24" s="1"/>
  <c r="BI195" i="24"/>
  <c r="BS169" i="24"/>
  <c r="BW169" i="24" s="1"/>
  <c r="BI169" i="24"/>
  <c r="BN165" i="24"/>
  <c r="BN135" i="24"/>
  <c r="BX135" i="24"/>
  <c r="BZ135" i="24" s="1"/>
  <c r="BX164" i="24"/>
  <c r="BZ164" i="24" s="1"/>
  <c r="BN164" i="24"/>
  <c r="BX129" i="24"/>
  <c r="BZ129" i="24" s="1"/>
  <c r="CA129" i="24" s="1"/>
  <c r="BN129" i="24"/>
  <c r="BX126" i="24"/>
  <c r="BZ126" i="24" s="1"/>
  <c r="BN126" i="24"/>
  <c r="BX157" i="24"/>
  <c r="BZ157" i="24" s="1"/>
  <c r="BN157" i="24"/>
  <c r="BS156" i="24"/>
  <c r="BW156" i="24" s="1"/>
  <c r="BI156" i="24"/>
  <c r="BS149" i="24"/>
  <c r="BW149" i="24" s="1"/>
  <c r="BI149" i="24"/>
  <c r="BS172" i="24"/>
  <c r="BW172" i="24" s="1"/>
  <c r="BI172" i="24"/>
  <c r="BS193" i="24"/>
  <c r="BW193" i="24" s="1"/>
  <c r="BI193" i="24"/>
  <c r="BX117" i="24"/>
  <c r="BZ117" i="24" s="1"/>
  <c r="CA117" i="24" s="1"/>
  <c r="BN117" i="24"/>
  <c r="BX160" i="24"/>
  <c r="BZ160" i="24" s="1"/>
  <c r="BN160" i="24"/>
  <c r="BS168" i="24"/>
  <c r="BW168" i="24" s="1"/>
  <c r="BI168" i="24"/>
  <c r="BN183" i="24"/>
  <c r="BX183" i="24"/>
  <c r="BZ183" i="24" s="1"/>
  <c r="BX148" i="24"/>
  <c r="BZ148" i="24" s="1"/>
  <c r="BN148" i="24"/>
  <c r="BX153" i="24"/>
  <c r="BZ153" i="24" s="1"/>
  <c r="BN153" i="24"/>
  <c r="BX186" i="24"/>
  <c r="BZ186" i="24" s="1"/>
  <c r="BW186" i="24"/>
  <c r="BS188" i="24"/>
  <c r="BW188" i="24" s="1"/>
  <c r="BI188" i="24"/>
  <c r="BS112" i="24"/>
  <c r="BW112" i="24" s="1"/>
  <c r="BI112" i="24"/>
  <c r="BS141" i="24"/>
  <c r="BW141" i="24" s="1"/>
  <c r="BI141" i="24"/>
  <c r="BX190" i="24"/>
  <c r="BZ190" i="24" s="1"/>
  <c r="BW190" i="24"/>
  <c r="BX174" i="24"/>
  <c r="BZ174" i="24" s="1"/>
  <c r="BN174" i="24"/>
  <c r="BX196" i="24"/>
  <c r="BZ196" i="24" s="1"/>
  <c r="BN196" i="24"/>
  <c r="BI209" i="24"/>
  <c r="BS209" i="24"/>
  <c r="BW209" i="24" s="1"/>
  <c r="BS134" i="24"/>
  <c r="BW134" i="24" s="1"/>
  <c r="BI134" i="24"/>
  <c r="BX205" i="24"/>
  <c r="BZ205" i="24" s="1"/>
  <c r="BN205" i="24"/>
  <c r="BS191" i="24"/>
  <c r="BW191" i="24" s="1"/>
  <c r="BI191" i="24"/>
  <c r="BS119" i="24"/>
  <c r="BW119" i="24" s="1"/>
  <c r="BI119" i="24"/>
  <c r="BN151" i="24"/>
  <c r="BX151" i="24"/>
  <c r="BZ151" i="24" s="1"/>
  <c r="BN163" i="24"/>
  <c r="BX163" i="24"/>
  <c r="BZ163" i="24" s="1"/>
  <c r="BN187" i="24"/>
  <c r="BX187" i="24"/>
  <c r="BZ187" i="24" s="1"/>
  <c r="BX152" i="24"/>
  <c r="BZ152" i="24" s="1"/>
  <c r="BN152" i="24"/>
  <c r="BX144" i="24"/>
  <c r="BZ144" i="24" s="1"/>
  <c r="BN144" i="24"/>
  <c r="BS203" i="24"/>
  <c r="BW203" i="24" s="1"/>
  <c r="BI203" i="24"/>
  <c r="BM58" i="25"/>
  <c r="BS86" i="24"/>
  <c r="BW86" i="24" s="1"/>
  <c r="BW73" i="24"/>
  <c r="BI73" i="24"/>
  <c r="BX73" i="24" s="1"/>
  <c r="BZ73" i="24" s="1"/>
  <c r="BS33" i="24"/>
  <c r="BW33" i="24" s="1"/>
  <c r="BW104" i="24"/>
  <c r="BI51" i="24"/>
  <c r="BX51" i="24" s="1"/>
  <c r="BZ51" i="24" s="1"/>
  <c r="BW51" i="24"/>
  <c r="BS97" i="24"/>
  <c r="BW97" i="24" s="1"/>
  <c r="BS64" i="24"/>
  <c r="BX64" i="24" s="1"/>
  <c r="BZ64" i="24" s="1"/>
  <c r="CA64" i="24" s="1"/>
  <c r="BS27" i="24"/>
  <c r="BW27" i="24" s="1"/>
  <c r="BS23" i="24"/>
  <c r="BX23" i="24" s="1"/>
  <c r="BZ23" i="24" s="1"/>
  <c r="CA23" i="24" s="1"/>
  <c r="BS49" i="24"/>
  <c r="BW49" i="24" s="1"/>
  <c r="BN69" i="24"/>
  <c r="BW81" i="24"/>
  <c r="BS88" i="24"/>
  <c r="BW88" i="24" s="1"/>
  <c r="BI81" i="24"/>
  <c r="BN81" i="24" s="1"/>
  <c r="BS65" i="24"/>
  <c r="BW65" i="24" s="1"/>
  <c r="BI35" i="24"/>
  <c r="BN35" i="24" s="1"/>
  <c r="BW35" i="24"/>
  <c r="BX34" i="24"/>
  <c r="BZ34" i="24" s="1"/>
  <c r="CA34" i="24" s="1"/>
  <c r="AY71" i="24"/>
  <c r="AZ71" i="24" s="1"/>
  <c r="BF71" i="24"/>
  <c r="BG71" i="24"/>
  <c r="BT71" i="24" s="1"/>
  <c r="AY13" i="24"/>
  <c r="AZ13" i="24" s="1"/>
  <c r="BF13" i="24"/>
  <c r="BG13" i="24"/>
  <c r="BT13" i="24" s="1"/>
  <c r="AY15" i="24"/>
  <c r="AZ15" i="24" s="1"/>
  <c r="BG15" i="24"/>
  <c r="BT15" i="24" s="1"/>
  <c r="BF15" i="24"/>
  <c r="BW22" i="24"/>
  <c r="AY48" i="24"/>
  <c r="AZ48" i="24" s="1"/>
  <c r="BF48" i="24"/>
  <c r="BG48" i="24"/>
  <c r="BT48" i="24" s="1"/>
  <c r="AY102" i="24"/>
  <c r="AZ102" i="24" s="1"/>
  <c r="BF102" i="24"/>
  <c r="BG102" i="24"/>
  <c r="BT102" i="24" s="1"/>
  <c r="AY93" i="24"/>
  <c r="AZ93" i="24" s="1"/>
  <c r="BG93" i="24"/>
  <c r="BT93" i="24" s="1"/>
  <c r="BF93" i="24"/>
  <c r="AY37" i="24"/>
  <c r="AZ37" i="24" s="1"/>
  <c r="BF37" i="24"/>
  <c r="BG37" i="24"/>
  <c r="BT37" i="24" s="1"/>
  <c r="AY94" i="24"/>
  <c r="AZ94" i="24" s="1"/>
  <c r="BG94" i="24"/>
  <c r="BT94" i="24" s="1"/>
  <c r="BF94" i="24"/>
  <c r="AY8" i="24"/>
  <c r="AZ8" i="24" s="1"/>
  <c r="BF8" i="24"/>
  <c r="BG8" i="24"/>
  <c r="BT8" i="24" s="1"/>
  <c r="AY58" i="24"/>
  <c r="AZ58" i="24" s="1"/>
  <c r="BG58" i="24"/>
  <c r="BT58" i="24" s="1"/>
  <c r="BF58" i="24"/>
  <c r="AY90" i="24"/>
  <c r="AZ90" i="24" s="1"/>
  <c r="BF90" i="24"/>
  <c r="BG90" i="24"/>
  <c r="BT90" i="24" s="1"/>
  <c r="AY99" i="24"/>
  <c r="AZ99" i="24" s="1"/>
  <c r="BF99" i="24"/>
  <c r="BG99" i="24"/>
  <c r="BT99" i="24" s="1"/>
  <c r="AY45" i="24"/>
  <c r="AZ45" i="24" s="1"/>
  <c r="BF45" i="24"/>
  <c r="BG45" i="24"/>
  <c r="BT45" i="24" s="1"/>
  <c r="AY38" i="24"/>
  <c r="AZ38" i="24" s="1"/>
  <c r="BF38" i="24"/>
  <c r="BG38" i="24"/>
  <c r="BT38" i="24" s="1"/>
  <c r="AY77" i="24"/>
  <c r="AZ77" i="24" s="1"/>
  <c r="BG77" i="24"/>
  <c r="BT77" i="24" s="1"/>
  <c r="BF77" i="24"/>
  <c r="AY98" i="24"/>
  <c r="AZ98" i="24" s="1"/>
  <c r="BF98" i="24"/>
  <c r="BG98" i="24"/>
  <c r="BT98" i="24" s="1"/>
  <c r="AY62" i="24"/>
  <c r="AZ62" i="24" s="1"/>
  <c r="BF62" i="24"/>
  <c r="BG62" i="24"/>
  <c r="BT62" i="24" s="1"/>
  <c r="AY47" i="24"/>
  <c r="AZ47" i="24" s="1"/>
  <c r="BG47" i="24"/>
  <c r="BT47" i="24" s="1"/>
  <c r="BF47" i="24"/>
  <c r="AY52" i="24"/>
  <c r="AZ52" i="24" s="1"/>
  <c r="BF52" i="24"/>
  <c r="BG52" i="24"/>
  <c r="BT52" i="24" s="1"/>
  <c r="AY75" i="24"/>
  <c r="AZ75" i="24" s="1"/>
  <c r="BG75" i="24"/>
  <c r="BT75" i="24" s="1"/>
  <c r="BF75" i="24"/>
  <c r="AY103" i="24"/>
  <c r="AZ103" i="24" s="1"/>
  <c r="BG103" i="24"/>
  <c r="BT103" i="24" s="1"/>
  <c r="BF103" i="24"/>
  <c r="AY24" i="24"/>
  <c r="AZ24" i="24" s="1"/>
  <c r="BF24" i="24"/>
  <c r="BG24" i="24"/>
  <c r="BT24" i="24" s="1"/>
  <c r="AY44" i="24"/>
  <c r="AZ44" i="24" s="1"/>
  <c r="BG44" i="24"/>
  <c r="BT44" i="24" s="1"/>
  <c r="BF44" i="24"/>
  <c r="AY67" i="24"/>
  <c r="AZ67" i="24" s="1"/>
  <c r="BG67" i="24"/>
  <c r="BT67" i="24" s="1"/>
  <c r="BF67" i="24"/>
  <c r="AY76" i="24"/>
  <c r="AZ76" i="24" s="1"/>
  <c r="BG76" i="24"/>
  <c r="BT76" i="24" s="1"/>
  <c r="BF76" i="24"/>
  <c r="AY57" i="24"/>
  <c r="AZ57" i="24" s="1"/>
  <c r="BG57" i="24"/>
  <c r="BT57" i="24" s="1"/>
  <c r="BF57" i="24"/>
  <c r="AY84" i="24"/>
  <c r="AZ84" i="24" s="1"/>
  <c r="BF84" i="24"/>
  <c r="BG84" i="24"/>
  <c r="BT84" i="24" s="1"/>
  <c r="AY39" i="24"/>
  <c r="AZ39" i="24" s="1"/>
  <c r="BG39" i="24"/>
  <c r="BT39" i="24" s="1"/>
  <c r="BF39" i="24"/>
  <c r="AY61" i="24"/>
  <c r="AZ61" i="24" s="1"/>
  <c r="BG61" i="24"/>
  <c r="BT61" i="24" s="1"/>
  <c r="BF61" i="24"/>
  <c r="AY16" i="24"/>
  <c r="AZ16" i="24" s="1"/>
  <c r="BG16" i="24"/>
  <c r="BT16" i="24" s="1"/>
  <c r="BF16" i="24"/>
  <c r="AY12" i="24"/>
  <c r="AZ12" i="24" s="1"/>
  <c r="BG12" i="24"/>
  <c r="BT12" i="24" s="1"/>
  <c r="BF12" i="24"/>
  <c r="AY11" i="24"/>
  <c r="AZ11" i="24" s="1"/>
  <c r="BG11" i="24"/>
  <c r="BT11" i="24" s="1"/>
  <c r="BF11" i="24"/>
  <c r="AY17" i="24"/>
  <c r="AZ17" i="24" s="1"/>
  <c r="BF17" i="24"/>
  <c r="BG17" i="24"/>
  <c r="BT17" i="24" s="1"/>
  <c r="AY9" i="24"/>
  <c r="AZ9" i="24" s="1"/>
  <c r="BF9" i="24"/>
  <c r="BG9" i="24"/>
  <c r="BT9" i="24" s="1"/>
  <c r="AY26" i="24"/>
  <c r="AZ26" i="24" s="1"/>
  <c r="BF26" i="24"/>
  <c r="BG26" i="24"/>
  <c r="BT26" i="24" s="1"/>
  <c r="AY20" i="24"/>
  <c r="AZ20" i="24" s="1"/>
  <c r="BG20" i="24"/>
  <c r="BT20" i="24" s="1"/>
  <c r="BF20" i="24"/>
  <c r="AY30" i="24"/>
  <c r="AZ30" i="24" s="1"/>
  <c r="BG30" i="24"/>
  <c r="BT30" i="24" s="1"/>
  <c r="BF30" i="24"/>
  <c r="AY66" i="24"/>
  <c r="AZ66" i="24" s="1"/>
  <c r="BG66" i="24"/>
  <c r="BT66" i="24" s="1"/>
  <c r="BF66" i="24"/>
  <c r="AY80" i="24"/>
  <c r="AZ80" i="24" s="1"/>
  <c r="BF80" i="24"/>
  <c r="BG80" i="24"/>
  <c r="BT80" i="24" s="1"/>
  <c r="AY7" i="24"/>
  <c r="AZ7" i="24" s="1"/>
  <c r="BF7" i="24"/>
  <c r="BG7" i="24"/>
  <c r="BT7" i="24" s="1"/>
  <c r="AY6" i="24"/>
  <c r="AZ6" i="24" s="1"/>
  <c r="BG6" i="24"/>
  <c r="BT6" i="24" s="1"/>
  <c r="BF6" i="24"/>
  <c r="BX40" i="24"/>
  <c r="BZ40" i="24" s="1"/>
  <c r="CA40" i="24" s="1"/>
  <c r="BT5" i="25"/>
  <c r="BS5" i="25"/>
  <c r="BH5" i="25"/>
  <c r="BY33" i="25"/>
  <c r="CA33" i="25" s="1"/>
  <c r="CB33" i="25" s="1"/>
  <c r="BX20" i="25"/>
  <c r="BX52" i="25"/>
  <c r="BX86" i="25"/>
  <c r="BY55" i="25"/>
  <c r="CA55" i="25" s="1"/>
  <c r="CB55" i="25" s="1"/>
  <c r="BX90" i="25"/>
  <c r="BY18" i="25"/>
  <c r="CA18" i="25" s="1"/>
  <c r="BX98" i="25"/>
  <c r="BX40" i="25"/>
  <c r="BX103" i="25"/>
  <c r="BX78" i="25"/>
  <c r="BX76" i="25"/>
  <c r="BX41" i="25"/>
  <c r="BX17" i="25"/>
  <c r="BX27" i="25"/>
  <c r="BX54" i="25"/>
  <c r="BX15" i="25"/>
  <c r="BX55" i="25"/>
  <c r="BY90" i="25"/>
  <c r="CA90" i="25" s="1"/>
  <c r="BX33" i="25"/>
  <c r="BX18" i="25"/>
  <c r="BX19" i="25"/>
  <c r="BX63" i="25"/>
  <c r="BX95" i="25"/>
  <c r="BX65" i="25"/>
  <c r="BY60" i="25"/>
  <c r="CA60" i="25" s="1"/>
  <c r="BX34" i="25"/>
  <c r="BY98" i="25"/>
  <c r="CA98" i="25" s="1"/>
  <c r="BX36" i="25"/>
  <c r="BX85" i="25"/>
  <c r="BX99" i="25"/>
  <c r="BX43" i="25"/>
  <c r="BX49" i="25"/>
  <c r="BX47" i="25"/>
  <c r="BY85" i="25"/>
  <c r="CA85" i="25" s="1"/>
  <c r="BX39" i="25"/>
  <c r="BX102" i="25"/>
  <c r="BX26" i="25"/>
  <c r="BX83" i="25"/>
  <c r="BX75" i="25"/>
  <c r="BX61" i="25"/>
  <c r="BX13" i="25"/>
  <c r="BX89" i="25"/>
  <c r="BX8" i="25"/>
  <c r="BX24" i="25"/>
  <c r="BX104" i="25"/>
  <c r="BX67" i="25"/>
  <c r="BX94" i="25"/>
  <c r="BX71" i="25"/>
  <c r="BX6" i="25"/>
  <c r="BX45" i="25"/>
  <c r="BX66" i="25"/>
  <c r="BX57" i="25"/>
  <c r="BX73" i="25"/>
  <c r="BX32" i="25"/>
  <c r="BY95" i="25"/>
  <c r="CA95" i="25" s="1"/>
  <c r="CB95" i="25" s="1"/>
  <c r="BX9" i="25"/>
  <c r="BX60" i="25"/>
  <c r="BX105" i="25"/>
  <c r="BX77" i="25"/>
  <c r="BX35" i="25"/>
  <c r="BX97" i="25"/>
  <c r="BX81" i="25"/>
  <c r="BX59" i="25"/>
  <c r="BX64" i="25"/>
  <c r="BX21" i="25"/>
  <c r="BX87" i="25"/>
  <c r="BX50" i="25"/>
  <c r="BX101" i="25"/>
  <c r="BX31" i="25"/>
  <c r="BX12" i="25"/>
  <c r="BX53" i="25"/>
  <c r="BX51" i="25"/>
  <c r="BX37" i="25"/>
  <c r="BX14" i="25"/>
  <c r="BX10" i="25"/>
  <c r="BY32" i="25"/>
  <c r="CA32" i="25" s="1"/>
  <c r="BX29" i="25"/>
  <c r="BX11" i="25"/>
  <c r="BX72" i="25"/>
  <c r="BX44" i="25"/>
  <c r="BX16" i="25"/>
  <c r="BX88" i="25"/>
  <c r="BX100" i="25"/>
  <c r="BX93" i="25"/>
  <c r="BX42" i="25"/>
  <c r="BX62" i="25"/>
  <c r="BX28" i="25"/>
  <c r="BX68" i="25"/>
  <c r="BX25" i="25"/>
  <c r="BX80" i="25"/>
  <c r="BX69" i="25"/>
  <c r="BX74" i="25"/>
  <c r="BX46" i="25"/>
  <c r="BX96" i="25"/>
  <c r="BX38" i="25"/>
  <c r="BX91" i="25"/>
  <c r="BX92" i="25"/>
  <c r="BY65" i="25"/>
  <c r="CA65" i="25" s="1"/>
  <c r="BX23" i="25"/>
  <c r="BX84" i="25"/>
  <c r="BX22" i="25"/>
  <c r="BX79" i="25"/>
  <c r="BX30" i="25"/>
  <c r="BX7" i="25"/>
  <c r="BX82" i="25"/>
  <c r="BX70" i="25"/>
  <c r="BX56" i="25"/>
  <c r="BX48" i="25"/>
  <c r="BY43" i="25"/>
  <c r="CA43" i="25" s="1"/>
  <c r="CB43" i="25" s="1"/>
  <c r="BY57" i="25"/>
  <c r="CA57" i="25" s="1"/>
  <c r="CB57" i="25" s="1"/>
  <c r="BY73" i="25"/>
  <c r="CA73" i="25" s="1"/>
  <c r="BY66" i="25"/>
  <c r="CA66" i="25" s="1"/>
  <c r="BY84" i="25"/>
  <c r="CA84" i="25" s="1"/>
  <c r="BY99" i="25"/>
  <c r="CA99" i="25" s="1"/>
  <c r="BM32" i="25"/>
  <c r="BY50" i="25"/>
  <c r="CA50" i="25" s="1"/>
  <c r="CB50" i="25" s="1"/>
  <c r="BM50" i="25"/>
  <c r="BY31" i="25"/>
  <c r="CA31" i="25" s="1"/>
  <c r="BM31" i="25"/>
  <c r="BY41" i="25"/>
  <c r="CA41" i="25" s="1"/>
  <c r="BM41" i="25"/>
  <c r="BY17" i="25"/>
  <c r="CA17" i="25" s="1"/>
  <c r="CB17" i="25" s="1"/>
  <c r="BM17" i="25"/>
  <c r="BY40" i="25"/>
  <c r="CA40" i="25" s="1"/>
  <c r="BM40" i="25"/>
  <c r="BY78" i="25"/>
  <c r="CA78" i="25" s="1"/>
  <c r="BM78" i="25"/>
  <c r="BY14" i="25"/>
  <c r="CA14" i="25" s="1"/>
  <c r="CB14" i="25" s="1"/>
  <c r="BM14" i="25"/>
  <c r="BY82" i="25"/>
  <c r="CA82" i="25" s="1"/>
  <c r="BM82" i="25"/>
  <c r="BY56" i="25"/>
  <c r="CA56" i="25" s="1"/>
  <c r="BM56" i="25"/>
  <c r="BY26" i="25"/>
  <c r="CA26" i="25" s="1"/>
  <c r="CB26" i="25" s="1"/>
  <c r="BM26" i="25"/>
  <c r="BY80" i="25"/>
  <c r="CA80" i="25" s="1"/>
  <c r="BM80" i="25"/>
  <c r="BY20" i="25"/>
  <c r="CA20" i="25" s="1"/>
  <c r="BM20" i="25"/>
  <c r="BY81" i="25"/>
  <c r="CA81" i="25" s="1"/>
  <c r="BM81" i="25"/>
  <c r="BM8" i="25"/>
  <c r="BY8" i="25"/>
  <c r="CA8" i="25" s="1"/>
  <c r="CB8" i="25" s="1"/>
  <c r="BM104" i="25"/>
  <c r="BY104" i="25"/>
  <c r="CA104" i="25" s="1"/>
  <c r="BY64" i="25"/>
  <c r="CA64" i="25" s="1"/>
  <c r="BM64" i="25"/>
  <c r="BM94" i="25"/>
  <c r="BY94" i="25"/>
  <c r="CA94" i="25" s="1"/>
  <c r="BY21" i="25"/>
  <c r="CA21" i="25" s="1"/>
  <c r="BM21" i="25"/>
  <c r="BY45" i="25"/>
  <c r="CA45" i="25" s="1"/>
  <c r="BM45" i="25"/>
  <c r="BY49" i="25"/>
  <c r="CA49" i="25" s="1"/>
  <c r="BM49" i="25"/>
  <c r="BY29" i="25"/>
  <c r="CA29" i="25" s="1"/>
  <c r="BM29" i="25"/>
  <c r="BY22" i="25"/>
  <c r="CA22" i="25" s="1"/>
  <c r="CB22" i="25" s="1"/>
  <c r="BM22" i="25"/>
  <c r="BY11" i="25"/>
  <c r="CA11" i="25" s="1"/>
  <c r="CB11" i="25" s="1"/>
  <c r="BM11" i="25"/>
  <c r="BY79" i="25"/>
  <c r="CA79" i="25" s="1"/>
  <c r="CB79" i="25" s="1"/>
  <c r="BM79" i="25"/>
  <c r="BY72" i="25"/>
  <c r="CA72" i="25" s="1"/>
  <c r="BM72" i="25"/>
  <c r="BY44" i="25"/>
  <c r="CA44" i="25" s="1"/>
  <c r="BM44" i="25"/>
  <c r="BY30" i="25"/>
  <c r="CA30" i="25" s="1"/>
  <c r="CB30" i="25" s="1"/>
  <c r="BM30" i="25"/>
  <c r="BY47" i="25"/>
  <c r="CA47" i="25" s="1"/>
  <c r="BM47" i="25"/>
  <c r="BY16" i="25"/>
  <c r="CA16" i="25" s="1"/>
  <c r="CB16" i="25" s="1"/>
  <c r="BM16" i="25"/>
  <c r="BY39" i="25"/>
  <c r="CA39" i="25" s="1"/>
  <c r="BM39" i="25"/>
  <c r="BY88" i="25"/>
  <c r="CA88" i="25" s="1"/>
  <c r="CB88" i="25" s="1"/>
  <c r="BM88" i="25"/>
  <c r="BM100" i="25"/>
  <c r="BY100" i="25"/>
  <c r="CA100" i="25" s="1"/>
  <c r="BM93" i="25"/>
  <c r="BY93" i="25"/>
  <c r="CA93" i="25" s="1"/>
  <c r="BM102" i="25"/>
  <c r="BY102" i="25"/>
  <c r="CA102" i="25" s="1"/>
  <c r="BY42" i="25"/>
  <c r="CA42" i="25" s="1"/>
  <c r="BM42" i="25"/>
  <c r="BM10" i="25"/>
  <c r="BY10" i="25"/>
  <c r="CA10" i="25" s="1"/>
  <c r="CB10" i="25" s="1"/>
  <c r="BY34" i="25"/>
  <c r="CA34" i="25" s="1"/>
  <c r="CB34" i="25" s="1"/>
  <c r="BM34" i="25"/>
  <c r="BY71" i="25"/>
  <c r="CA71" i="25" s="1"/>
  <c r="BM71" i="25"/>
  <c r="BY62" i="25"/>
  <c r="CA62" i="25" s="1"/>
  <c r="BM62" i="25"/>
  <c r="BY28" i="25"/>
  <c r="CA28" i="25" s="1"/>
  <c r="CB28" i="25" s="1"/>
  <c r="BM28" i="25"/>
  <c r="BY63" i="25"/>
  <c r="CA63" i="25" s="1"/>
  <c r="BM63" i="25"/>
  <c r="BY68" i="25"/>
  <c r="CA68" i="25" s="1"/>
  <c r="BM68" i="25"/>
  <c r="BY25" i="25"/>
  <c r="CA25" i="25" s="1"/>
  <c r="BM25" i="25"/>
  <c r="BY83" i="25"/>
  <c r="CA83" i="25" s="1"/>
  <c r="BM83" i="25"/>
  <c r="BY75" i="25"/>
  <c r="CA75" i="25" s="1"/>
  <c r="BM75" i="25"/>
  <c r="BY61" i="25"/>
  <c r="CA61" i="25" s="1"/>
  <c r="BM61" i="25"/>
  <c r="BY35" i="25"/>
  <c r="CA35" i="25" s="1"/>
  <c r="BM35" i="25"/>
  <c r="BM97" i="25"/>
  <c r="BY97" i="25"/>
  <c r="CA97" i="25" s="1"/>
  <c r="BY52" i="25"/>
  <c r="CA52" i="25" s="1"/>
  <c r="BM52" i="25"/>
  <c r="BY86" i="25"/>
  <c r="CA86" i="25" s="1"/>
  <c r="BM86" i="25"/>
  <c r="BY54" i="25"/>
  <c r="CA54" i="25" s="1"/>
  <c r="BM54" i="25"/>
  <c r="BY46" i="25"/>
  <c r="CA46" i="25" s="1"/>
  <c r="BM46" i="25"/>
  <c r="BM96" i="25"/>
  <c r="BY96" i="25"/>
  <c r="CA96" i="25" s="1"/>
  <c r="BY38" i="25"/>
  <c r="CA38" i="25" s="1"/>
  <c r="BM38" i="25"/>
  <c r="BY15" i="25"/>
  <c r="CA15" i="25" s="1"/>
  <c r="CB15" i="25" s="1"/>
  <c r="BM15" i="25"/>
  <c r="BY19" i="25"/>
  <c r="CA19" i="25" s="1"/>
  <c r="CB19" i="25" s="1"/>
  <c r="BM19" i="25"/>
  <c r="BM91" i="25"/>
  <c r="BY91" i="25"/>
  <c r="CA91" i="25" s="1"/>
  <c r="BM92" i="25"/>
  <c r="BY92" i="25"/>
  <c r="CA92" i="25" s="1"/>
  <c r="BY36" i="25"/>
  <c r="CA36" i="25" s="1"/>
  <c r="CB36" i="25" s="1"/>
  <c r="BM36" i="25"/>
  <c r="BY87" i="25"/>
  <c r="CA87" i="25" s="1"/>
  <c r="BM87" i="25"/>
  <c r="BM101" i="25"/>
  <c r="BY101" i="25"/>
  <c r="CA101" i="25" s="1"/>
  <c r="BY76" i="25"/>
  <c r="CA76" i="25" s="1"/>
  <c r="BM76" i="25"/>
  <c r="BY12" i="25"/>
  <c r="CA12" i="25" s="1"/>
  <c r="CB12" i="25" s="1"/>
  <c r="BM12" i="25"/>
  <c r="BY53" i="25"/>
  <c r="CA53" i="25" s="1"/>
  <c r="BM53" i="25"/>
  <c r="BY51" i="25"/>
  <c r="CA51" i="25" s="1"/>
  <c r="BM51" i="25"/>
  <c r="BY37" i="25"/>
  <c r="CA37" i="25" s="1"/>
  <c r="CB37" i="25" s="1"/>
  <c r="BM37" i="25"/>
  <c r="BM103" i="25"/>
  <c r="BY103" i="25"/>
  <c r="CA103" i="25" s="1"/>
  <c r="BY27" i="25"/>
  <c r="CA27" i="25" s="1"/>
  <c r="CB27" i="25" s="1"/>
  <c r="BM27" i="25"/>
  <c r="BY70" i="25"/>
  <c r="CA70" i="25" s="1"/>
  <c r="BM70" i="25"/>
  <c r="BY48" i="25"/>
  <c r="CA48" i="25" s="1"/>
  <c r="BM48" i="25"/>
  <c r="BM105" i="25"/>
  <c r="E45" i="1" s="1"/>
  <c r="E46" i="1" s="1"/>
  <c r="BY105" i="25"/>
  <c r="CA105" i="25" s="1"/>
  <c r="BY77" i="25"/>
  <c r="CA77" i="25" s="1"/>
  <c r="BM77" i="25"/>
  <c r="BY69" i="25"/>
  <c r="CA69" i="25" s="1"/>
  <c r="BM69" i="25"/>
  <c r="BY74" i="25"/>
  <c r="CA74" i="25" s="1"/>
  <c r="BM74" i="25"/>
  <c r="BY13" i="25"/>
  <c r="CA13" i="25" s="1"/>
  <c r="CB13" i="25" s="1"/>
  <c r="BM13" i="25"/>
  <c r="BY89" i="25"/>
  <c r="CA89" i="25" s="1"/>
  <c r="BM89" i="25"/>
  <c r="BY24" i="25"/>
  <c r="CA24" i="25" s="1"/>
  <c r="CB24" i="25" s="1"/>
  <c r="BM24" i="25"/>
  <c r="BY59" i="25"/>
  <c r="CA59" i="25" s="1"/>
  <c r="BM59" i="25"/>
  <c r="BY67" i="25"/>
  <c r="CA67" i="25" s="1"/>
  <c r="BM67" i="25"/>
  <c r="BY23" i="25"/>
  <c r="CA23" i="25" s="1"/>
  <c r="CB23" i="25" s="1"/>
  <c r="BM23" i="25"/>
  <c r="BM7" i="25"/>
  <c r="BY7" i="25"/>
  <c r="CA7" i="25" s="1"/>
  <c r="CB7" i="25" s="1"/>
  <c r="BM9" i="25"/>
  <c r="BY9" i="25"/>
  <c r="CA9" i="25" s="1"/>
  <c r="CB9" i="25" s="1"/>
  <c r="BM6" i="25"/>
  <c r="BY6" i="25"/>
  <c r="CA6" i="25" s="1"/>
  <c r="CB6" i="25" s="1"/>
  <c r="BX79" i="24"/>
  <c r="BZ79" i="24" s="1"/>
  <c r="CA79" i="24" s="1"/>
  <c r="BX89" i="24"/>
  <c r="BZ89" i="24" s="1"/>
  <c r="BX14" i="24"/>
  <c r="BZ14" i="24" s="1"/>
  <c r="CA14" i="24" s="1"/>
  <c r="BX21" i="24"/>
  <c r="BZ21" i="24" s="1"/>
  <c r="BX92" i="24"/>
  <c r="BZ92" i="24" s="1"/>
  <c r="BN72" i="24"/>
  <c r="BX72" i="24"/>
  <c r="BZ72" i="24" s="1"/>
  <c r="BN63" i="24"/>
  <c r="BX63" i="24"/>
  <c r="BZ63" i="24" s="1"/>
  <c r="CE63" i="24" s="1"/>
  <c r="BN60" i="24"/>
  <c r="BX60" i="24"/>
  <c r="BZ60" i="24" s="1"/>
  <c r="BX85" i="24"/>
  <c r="BZ85" i="24" s="1"/>
  <c r="BX78" i="24"/>
  <c r="BZ78" i="24" s="1"/>
  <c r="BN18" i="24"/>
  <c r="BX18" i="24"/>
  <c r="BZ18" i="24" s="1"/>
  <c r="BN56" i="24"/>
  <c r="BX56" i="24"/>
  <c r="BZ56" i="24" s="1"/>
  <c r="CA56" i="24" s="1"/>
  <c r="BN19" i="24"/>
  <c r="BX19" i="24"/>
  <c r="BZ19" i="24" s="1"/>
  <c r="CA19" i="24" s="1"/>
  <c r="BN10" i="24"/>
  <c r="BX10" i="24"/>
  <c r="BZ10" i="24" s="1"/>
  <c r="CA10" i="24" s="1"/>
  <c r="BN28" i="24"/>
  <c r="BX28" i="24"/>
  <c r="BZ28" i="24" s="1"/>
  <c r="CA28" i="24" s="1"/>
  <c r="BN25" i="24"/>
  <c r="BX25" i="24"/>
  <c r="BZ25" i="24" s="1"/>
  <c r="BX59" i="24"/>
  <c r="BZ59" i="24" s="1"/>
  <c r="BX29" i="24"/>
  <c r="BZ29" i="24" s="1"/>
  <c r="BX96" i="24"/>
  <c r="BZ96" i="24" s="1"/>
  <c r="BX74" i="24"/>
  <c r="BZ74" i="24" s="1"/>
  <c r="BN31" i="24"/>
  <c r="BX31" i="24"/>
  <c r="BZ31" i="24" s="1"/>
  <c r="BN55" i="24"/>
  <c r="BX55" i="24"/>
  <c r="BZ55" i="24" s="1"/>
  <c r="CA55" i="24" s="1"/>
  <c r="B248" i="2" s="1"/>
  <c r="BN70" i="24"/>
  <c r="BX70" i="24"/>
  <c r="BZ70" i="24" s="1"/>
  <c r="BN50" i="24"/>
  <c r="BX50" i="24"/>
  <c r="BZ50" i="24" s="1"/>
  <c r="BX95" i="24"/>
  <c r="BZ95" i="24" s="1"/>
  <c r="CA95" i="24" s="1"/>
  <c r="BX54" i="24"/>
  <c r="BZ54" i="24" s="1"/>
  <c r="BN46" i="24"/>
  <c r="BX46" i="24"/>
  <c r="BZ46" i="24" s="1"/>
  <c r="BN101" i="24"/>
  <c r="BX101" i="24"/>
  <c r="BZ101" i="24" s="1"/>
  <c r="BN42" i="24"/>
  <c r="BX42" i="24"/>
  <c r="BZ42" i="24" s="1"/>
  <c r="BN83" i="24"/>
  <c r="BX83" i="24"/>
  <c r="BZ83" i="24" s="1"/>
  <c r="BX100" i="24"/>
  <c r="BZ100" i="24" s="1"/>
  <c r="CA100" i="24" s="1"/>
  <c r="BN100" i="24"/>
  <c r="BX68" i="24"/>
  <c r="BZ68" i="24" s="1"/>
  <c r="BX105" i="24"/>
  <c r="BZ105" i="24" s="1"/>
  <c r="BX36" i="24"/>
  <c r="BZ36" i="24" s="1"/>
  <c r="CA36" i="24" s="1"/>
  <c r="BX82" i="24"/>
  <c r="BZ82" i="24" s="1"/>
  <c r="BX91" i="24"/>
  <c r="BZ91" i="24" s="1"/>
  <c r="BX87" i="24"/>
  <c r="BZ87" i="24" s="1"/>
  <c r="BX41" i="24"/>
  <c r="BZ41" i="24" s="1"/>
  <c r="F66" i="19"/>
  <c r="J9" i="8"/>
  <c r="CB49" i="25" l="1"/>
  <c r="CF49" i="25"/>
  <c r="CA174" i="24"/>
  <c r="CE174" i="24"/>
  <c r="CB38" i="25"/>
  <c r="CF38" i="25"/>
  <c r="BI43" i="24"/>
  <c r="BN43" i="24" s="1"/>
  <c r="CB90" i="25"/>
  <c r="CF90" i="25"/>
  <c r="CA201" i="24"/>
  <c r="CE201" i="24"/>
  <c r="BW43" i="24"/>
  <c r="CA142" i="24"/>
  <c r="CE142" i="24"/>
  <c r="CB64" i="25"/>
  <c r="CF64" i="25"/>
  <c r="CA153" i="24"/>
  <c r="CE153" i="24"/>
  <c r="CA145" i="24"/>
  <c r="CE145" i="24"/>
  <c r="CB80" i="25"/>
  <c r="CF80" i="25"/>
  <c r="CA148" i="24"/>
  <c r="CE148" i="24"/>
  <c r="CA121" i="24"/>
  <c r="CE121" i="24"/>
  <c r="CB53" i="25"/>
  <c r="CF53" i="25"/>
  <c r="CA133" i="24"/>
  <c r="CE133" i="24"/>
  <c r="CA29" i="24"/>
  <c r="CE29" i="24"/>
  <c r="CB29" i="25"/>
  <c r="CF29" i="25"/>
  <c r="CB39" i="25"/>
  <c r="CF39" i="25"/>
  <c r="CA140" i="24"/>
  <c r="CE140" i="24"/>
  <c r="CB21" i="25"/>
  <c r="CF21" i="25"/>
  <c r="CA21" i="24"/>
  <c r="CE21" i="24"/>
  <c r="CA120" i="24"/>
  <c r="CE120" i="24"/>
  <c r="CB120" i="25"/>
  <c r="CF120" i="25"/>
  <c r="CB48" i="25"/>
  <c r="CF48" i="25"/>
  <c r="CA127" i="24"/>
  <c r="CE127" i="24"/>
  <c r="CB126" i="25"/>
  <c r="CF126" i="25"/>
  <c r="CA31" i="24"/>
  <c r="CE31" i="24"/>
  <c r="CA42" i="24"/>
  <c r="CE42" i="24"/>
  <c r="CB133" i="25"/>
  <c r="CF133" i="25"/>
  <c r="CB42" i="25"/>
  <c r="CF42" i="25"/>
  <c r="CB137" i="25"/>
  <c r="CF137" i="25"/>
  <c r="CB210" i="25"/>
  <c r="CF210" i="25"/>
  <c r="CB190" i="25"/>
  <c r="CF190" i="25"/>
  <c r="CB104" i="25"/>
  <c r="CF104" i="25"/>
  <c r="CA92" i="24"/>
  <c r="CE92" i="24"/>
  <c r="CB92" i="25"/>
  <c r="CF92" i="25"/>
  <c r="BW210" i="24"/>
  <c r="CB35" i="25"/>
  <c r="CF35" i="25"/>
  <c r="CB134" i="25"/>
  <c r="CF134" i="25"/>
  <c r="CA184" i="24"/>
  <c r="CE184" i="24"/>
  <c r="CB101" i="25"/>
  <c r="CF101" i="25"/>
  <c r="CB191" i="25"/>
  <c r="CF191" i="25"/>
  <c r="CB205" i="25"/>
  <c r="CF205" i="25"/>
  <c r="CB204" i="25"/>
  <c r="CF204" i="25"/>
  <c r="CB193" i="25"/>
  <c r="CF193" i="25"/>
  <c r="CA198" i="24"/>
  <c r="CE198" i="24"/>
  <c r="CB141" i="25"/>
  <c r="CF141" i="25"/>
  <c r="CB209" i="25"/>
  <c r="CF209" i="25"/>
  <c r="CB197" i="25"/>
  <c r="CF197" i="25"/>
  <c r="CA173" i="24"/>
  <c r="CE173" i="24"/>
  <c r="CB153" i="25"/>
  <c r="CF153" i="25"/>
  <c r="CB81" i="25"/>
  <c r="CF81" i="25"/>
  <c r="CB208" i="25"/>
  <c r="CF208" i="25"/>
  <c r="CA200" i="24"/>
  <c r="CE200" i="24"/>
  <c r="CB100" i="25"/>
  <c r="CF100" i="25"/>
  <c r="CB59" i="25"/>
  <c r="CF59" i="25"/>
  <c r="CA59" i="24"/>
  <c r="CE59" i="24"/>
  <c r="CA197" i="24"/>
  <c r="CE197" i="24"/>
  <c r="CB207" i="25"/>
  <c r="CF207" i="25"/>
  <c r="CA135" i="24"/>
  <c r="CE135" i="24"/>
  <c r="CA72" i="24"/>
  <c r="CE72" i="24"/>
  <c r="CB72" i="25"/>
  <c r="CF72" i="25"/>
  <c r="CB201" i="25"/>
  <c r="CF201" i="25"/>
  <c r="CB139" i="25"/>
  <c r="CF139" i="25"/>
  <c r="CA83" i="24"/>
  <c r="CE83" i="24"/>
  <c r="CA144" i="24"/>
  <c r="CE144" i="24"/>
  <c r="CA196" i="24"/>
  <c r="CE196" i="24"/>
  <c r="BN166" i="24"/>
  <c r="CA164" i="24"/>
  <c r="CE164" i="24"/>
  <c r="CA126" i="24"/>
  <c r="CE126" i="24"/>
  <c r="CB124" i="25"/>
  <c r="CF124" i="25"/>
  <c r="CA25" i="24"/>
  <c r="CE25" i="24"/>
  <c r="CA18" i="24"/>
  <c r="CE18" i="24"/>
  <c r="CB18" i="25"/>
  <c r="CF18" i="25"/>
  <c r="CB119" i="25"/>
  <c r="CF119" i="25"/>
  <c r="CB194" i="25"/>
  <c r="CF194" i="25"/>
  <c r="CB157" i="25"/>
  <c r="CF157" i="25"/>
  <c r="CB186" i="25"/>
  <c r="CF186" i="25"/>
  <c r="CA82" i="24"/>
  <c r="CE82" i="24"/>
  <c r="CA187" i="24"/>
  <c r="CE187" i="24"/>
  <c r="CB131" i="25"/>
  <c r="CF131" i="25"/>
  <c r="CA132" i="24"/>
  <c r="CE132" i="24"/>
  <c r="CB189" i="25"/>
  <c r="CF189" i="25"/>
  <c r="CB76" i="25"/>
  <c r="CF76" i="25"/>
  <c r="CA205" i="24"/>
  <c r="CE205" i="24"/>
  <c r="CB61" i="25"/>
  <c r="CF61" i="25"/>
  <c r="CA152" i="24"/>
  <c r="CE152" i="24"/>
  <c r="CB154" i="25"/>
  <c r="CF154" i="25"/>
  <c r="CB196" i="25"/>
  <c r="CF196" i="25"/>
  <c r="CB99" i="25"/>
  <c r="CF99" i="25"/>
  <c r="CB172" i="25"/>
  <c r="CF172" i="25"/>
  <c r="CB77" i="25"/>
  <c r="CF77" i="25"/>
  <c r="CB162" i="25"/>
  <c r="CF162" i="25"/>
  <c r="CB156" i="25"/>
  <c r="CF156" i="25"/>
  <c r="CA147" i="24"/>
  <c r="CE147" i="24"/>
  <c r="CB140" i="25"/>
  <c r="CF140" i="25"/>
  <c r="CB163" i="25"/>
  <c r="CF163" i="25"/>
  <c r="CB75" i="25"/>
  <c r="CF75" i="25"/>
  <c r="CA163" i="24"/>
  <c r="CE163" i="24"/>
  <c r="CB71" i="25"/>
  <c r="CF71" i="25"/>
  <c r="CB94" i="25"/>
  <c r="CF94" i="25"/>
  <c r="CA101" i="24"/>
  <c r="CE101" i="24"/>
  <c r="CB175" i="25"/>
  <c r="CF175" i="25"/>
  <c r="CA177" i="24"/>
  <c r="CE177" i="24"/>
  <c r="CB169" i="25"/>
  <c r="CF169" i="25"/>
  <c r="CB147" i="25"/>
  <c r="CF147" i="25"/>
  <c r="CB86" i="25"/>
  <c r="CF86" i="25"/>
  <c r="CA96" i="24"/>
  <c r="CE96" i="24"/>
  <c r="CB96" i="25"/>
  <c r="CF96" i="25"/>
  <c r="CA162" i="24"/>
  <c r="CE162" i="24"/>
  <c r="CB160" i="25"/>
  <c r="CF160" i="25"/>
  <c r="CB66" i="25"/>
  <c r="CF66" i="25"/>
  <c r="CB168" i="25"/>
  <c r="CF168" i="25"/>
  <c r="CA78" i="24"/>
  <c r="CE78" i="24"/>
  <c r="CB78" i="25"/>
  <c r="CF78" i="25"/>
  <c r="CB93" i="25"/>
  <c r="CF93" i="25"/>
  <c r="CB182" i="25"/>
  <c r="CF182" i="25"/>
  <c r="CB198" i="25"/>
  <c r="CF198" i="25"/>
  <c r="CA171" i="24"/>
  <c r="CE171" i="24"/>
  <c r="CA186" i="24"/>
  <c r="CE186" i="24"/>
  <c r="CA91" i="24"/>
  <c r="CE91" i="24"/>
  <c r="CB91" i="25"/>
  <c r="CF91" i="25"/>
  <c r="CB202" i="25"/>
  <c r="CF202" i="25"/>
  <c r="CB73" i="25"/>
  <c r="CF73" i="25"/>
  <c r="CA73" i="24"/>
  <c r="CE73" i="24"/>
  <c r="CA170" i="24"/>
  <c r="CE170" i="24"/>
  <c r="CB181" i="25"/>
  <c r="CF181" i="25"/>
  <c r="CA202" i="24"/>
  <c r="CE202" i="24"/>
  <c r="CB152" i="25"/>
  <c r="CF152" i="25"/>
  <c r="CB85" i="25"/>
  <c r="CF85" i="25"/>
  <c r="CA85" i="24"/>
  <c r="CE85" i="24"/>
  <c r="CB69" i="25"/>
  <c r="CF69" i="25"/>
  <c r="CB51" i="25"/>
  <c r="CF51" i="25"/>
  <c r="CB138" i="25"/>
  <c r="CF138" i="25"/>
  <c r="CA51" i="24"/>
  <c r="CE51" i="24"/>
  <c r="CB97" i="25"/>
  <c r="CF97" i="25"/>
  <c r="BX165" i="24"/>
  <c r="BZ165" i="24" s="1"/>
  <c r="CB155" i="25"/>
  <c r="CF155" i="25"/>
  <c r="CA46" i="24"/>
  <c r="CE46" i="24"/>
  <c r="CB130" i="25"/>
  <c r="CF130" i="25"/>
  <c r="CA143" i="24"/>
  <c r="CE143" i="24"/>
  <c r="CB41" i="25"/>
  <c r="CF41" i="25"/>
  <c r="CA138" i="24"/>
  <c r="CE138" i="24"/>
  <c r="CA41" i="24"/>
  <c r="CE41" i="24"/>
  <c r="CB127" i="25"/>
  <c r="CF127" i="25"/>
  <c r="CA180" i="24"/>
  <c r="CE180" i="24"/>
  <c r="CB62" i="25"/>
  <c r="CF62" i="25"/>
  <c r="CB185" i="25"/>
  <c r="CF185" i="25"/>
  <c r="CB192" i="25"/>
  <c r="CF192" i="25"/>
  <c r="CB183" i="25"/>
  <c r="CF183" i="25"/>
  <c r="CB84" i="25"/>
  <c r="CF84" i="25"/>
  <c r="CB158" i="25"/>
  <c r="CF158" i="25"/>
  <c r="CB56" i="25"/>
  <c r="CF56" i="25"/>
  <c r="CB68" i="25"/>
  <c r="CF68" i="25"/>
  <c r="CA183" i="24"/>
  <c r="CE183" i="24"/>
  <c r="CB151" i="25"/>
  <c r="CF151" i="25"/>
  <c r="CB200" i="25"/>
  <c r="CF200" i="25"/>
  <c r="CB82" i="25"/>
  <c r="CF82" i="25"/>
  <c r="CB199" i="25"/>
  <c r="CF199" i="25"/>
  <c r="CB45" i="25"/>
  <c r="CF45" i="25"/>
  <c r="CA146" i="24"/>
  <c r="CE146" i="24"/>
  <c r="CB195" i="25"/>
  <c r="CF195" i="25"/>
  <c r="CB149" i="25"/>
  <c r="CF149" i="25"/>
  <c r="CB136" i="25"/>
  <c r="CF136" i="25"/>
  <c r="CB32" i="25"/>
  <c r="CF32" i="25"/>
  <c r="CB129" i="25"/>
  <c r="CF129" i="25"/>
  <c r="CB25" i="25"/>
  <c r="CF25" i="25"/>
  <c r="CB31" i="25"/>
  <c r="CF31" i="25"/>
  <c r="CA89" i="24"/>
  <c r="CE89" i="24"/>
  <c r="CB52" i="25"/>
  <c r="CF52" i="25"/>
  <c r="CB60" i="25"/>
  <c r="CF60" i="25"/>
  <c r="CA151" i="24"/>
  <c r="CE151" i="24"/>
  <c r="CA60" i="24"/>
  <c r="CE60" i="24"/>
  <c r="CB145" i="25"/>
  <c r="CF145" i="25"/>
  <c r="CB171" i="25"/>
  <c r="CF171" i="25"/>
  <c r="CA175" i="24"/>
  <c r="CE175" i="24"/>
  <c r="CB159" i="25"/>
  <c r="CF159" i="25"/>
  <c r="CA87" i="24"/>
  <c r="CE87" i="24"/>
  <c r="CA157" i="24"/>
  <c r="CE157" i="24"/>
  <c r="CB70" i="25"/>
  <c r="CF70" i="25"/>
  <c r="CB150" i="25"/>
  <c r="CF150" i="25"/>
  <c r="CA70" i="24"/>
  <c r="CE70" i="24"/>
  <c r="CB83" i="25"/>
  <c r="CF83" i="25"/>
  <c r="CB46" i="25"/>
  <c r="CF46" i="25"/>
  <c r="CB148" i="25"/>
  <c r="CF148" i="25"/>
  <c r="CB142" i="25"/>
  <c r="CF142" i="25"/>
  <c r="CB40" i="25"/>
  <c r="CF40" i="25"/>
  <c r="CA68" i="24"/>
  <c r="CE68" i="24"/>
  <c r="CB65" i="25"/>
  <c r="CF65" i="25"/>
  <c r="CB165" i="25"/>
  <c r="CF165" i="25"/>
  <c r="CB87" i="25"/>
  <c r="CF87" i="25"/>
  <c r="CB188" i="25"/>
  <c r="CF188" i="25"/>
  <c r="CB180" i="25"/>
  <c r="CF180" i="25"/>
  <c r="CB187" i="25"/>
  <c r="CF187" i="25"/>
  <c r="CB121" i="25"/>
  <c r="CF121" i="25"/>
  <c r="CB20" i="25"/>
  <c r="CF20" i="25"/>
  <c r="CA122" i="24"/>
  <c r="CE122" i="24"/>
  <c r="CA54" i="24"/>
  <c r="CE54" i="24"/>
  <c r="CB54" i="25"/>
  <c r="CF54" i="25"/>
  <c r="CB63" i="25"/>
  <c r="CF63" i="25"/>
  <c r="CB143" i="25"/>
  <c r="CF143" i="25"/>
  <c r="CB105" i="25"/>
  <c r="CF105" i="25"/>
  <c r="CA105" i="24"/>
  <c r="CE105" i="24"/>
  <c r="CB161" i="25"/>
  <c r="CF161" i="25"/>
  <c r="CA185" i="24"/>
  <c r="CE185" i="24"/>
  <c r="CB178" i="25"/>
  <c r="CF178" i="25"/>
  <c r="CB184" i="25"/>
  <c r="CF184" i="25"/>
  <c r="CB167" i="25"/>
  <c r="CF167" i="25"/>
  <c r="CB176" i="25"/>
  <c r="CF176" i="25"/>
  <c r="CB179" i="25"/>
  <c r="CF179" i="25"/>
  <c r="CB89" i="25"/>
  <c r="CF89" i="25"/>
  <c r="CA204" i="24"/>
  <c r="CE204" i="24"/>
  <c r="CB98" i="25"/>
  <c r="CF98" i="25"/>
  <c r="CB177" i="25"/>
  <c r="CF177" i="25"/>
  <c r="CB203" i="25"/>
  <c r="CF203" i="25"/>
  <c r="CB166" i="25"/>
  <c r="CF166" i="25"/>
  <c r="CA179" i="24"/>
  <c r="CE179" i="24"/>
  <c r="CB74" i="25"/>
  <c r="CF74" i="25"/>
  <c r="CB146" i="25"/>
  <c r="CF146" i="25"/>
  <c r="CA154" i="24"/>
  <c r="CE154" i="24"/>
  <c r="CA74" i="24"/>
  <c r="CE74" i="24"/>
  <c r="CB164" i="25"/>
  <c r="CF164" i="25"/>
  <c r="CA190" i="24"/>
  <c r="CE190" i="24"/>
  <c r="CB170" i="25"/>
  <c r="CF170" i="25"/>
  <c r="BX167" i="24"/>
  <c r="BZ167" i="24" s="1"/>
  <c r="CA139" i="24"/>
  <c r="CE139" i="24"/>
  <c r="CA50" i="24"/>
  <c r="CE50" i="24"/>
  <c r="CB44" i="25"/>
  <c r="CF44" i="25"/>
  <c r="CB135" i="25"/>
  <c r="CF135" i="25"/>
  <c r="CB47" i="25"/>
  <c r="CF47" i="25"/>
  <c r="CB67" i="25"/>
  <c r="CF67" i="25"/>
  <c r="CA160" i="24"/>
  <c r="CE160" i="24"/>
  <c r="CB144" i="25"/>
  <c r="CF144" i="25"/>
  <c r="CB174" i="25"/>
  <c r="CF174" i="25"/>
  <c r="CB103" i="25"/>
  <c r="CF103" i="25"/>
  <c r="CA207" i="24"/>
  <c r="CE207" i="24"/>
  <c r="CB206" i="25"/>
  <c r="CF206" i="25"/>
  <c r="CB173" i="25"/>
  <c r="CF173" i="25"/>
  <c r="CB102" i="25"/>
  <c r="CF102" i="25"/>
  <c r="CA63" i="24"/>
  <c r="BX115" i="24"/>
  <c r="BZ115" i="24" s="1"/>
  <c r="CA115" i="24" s="1"/>
  <c r="CA150" i="24"/>
  <c r="CE150" i="24"/>
  <c r="BY110" i="25"/>
  <c r="CA110" i="25" s="1"/>
  <c r="CB110" i="25" s="1"/>
  <c r="BM110" i="25"/>
  <c r="BX86" i="24"/>
  <c r="BZ86" i="24" s="1"/>
  <c r="BX97" i="24"/>
  <c r="BZ97" i="24" s="1"/>
  <c r="BN119" i="24"/>
  <c r="BX119" i="24"/>
  <c r="BZ119" i="24" s="1"/>
  <c r="BX168" i="24"/>
  <c r="BZ168" i="24" s="1"/>
  <c r="BN168" i="24"/>
  <c r="BX156" i="24"/>
  <c r="BZ156" i="24" s="1"/>
  <c r="BN156" i="24"/>
  <c r="BN195" i="24"/>
  <c r="BX195" i="24"/>
  <c r="BZ195" i="24" s="1"/>
  <c r="BN155" i="24"/>
  <c r="BX155" i="24"/>
  <c r="BZ155" i="24" s="1"/>
  <c r="BX181" i="24"/>
  <c r="BZ181" i="24" s="1"/>
  <c r="CA181" i="24" s="1"/>
  <c r="BW181" i="24"/>
  <c r="BX176" i="24"/>
  <c r="BZ176" i="24" s="1"/>
  <c r="BN176" i="24"/>
  <c r="BX206" i="24"/>
  <c r="BZ206" i="24" s="1"/>
  <c r="CA206" i="24" s="1"/>
  <c r="BN206" i="24"/>
  <c r="BX210" i="24"/>
  <c r="BZ210" i="24" s="1"/>
  <c r="BN210" i="24"/>
  <c r="BX130" i="24"/>
  <c r="BZ130" i="24" s="1"/>
  <c r="BN130" i="24"/>
  <c r="BX192" i="24"/>
  <c r="BZ192" i="24" s="1"/>
  <c r="BN192" i="24"/>
  <c r="BX189" i="24"/>
  <c r="BZ189" i="24" s="1"/>
  <c r="BW189" i="24"/>
  <c r="BX194" i="24"/>
  <c r="BZ194" i="24" s="1"/>
  <c r="BN194" i="24"/>
  <c r="BX136" i="24"/>
  <c r="BZ136" i="24" s="1"/>
  <c r="BN136" i="24"/>
  <c r="BN159" i="24"/>
  <c r="BX159" i="24"/>
  <c r="BZ159" i="24" s="1"/>
  <c r="CA159" i="24" s="1"/>
  <c r="BN203" i="24"/>
  <c r="BX203" i="24"/>
  <c r="BZ203" i="24" s="1"/>
  <c r="BX141" i="24"/>
  <c r="BZ141" i="24" s="1"/>
  <c r="BN141" i="24"/>
  <c r="BX188" i="24"/>
  <c r="BZ188" i="24" s="1"/>
  <c r="BN188" i="24"/>
  <c r="BX193" i="24"/>
  <c r="BZ193" i="24" s="1"/>
  <c r="BN193" i="24"/>
  <c r="BX149" i="24"/>
  <c r="BZ149" i="24" s="1"/>
  <c r="BN149" i="24"/>
  <c r="BX169" i="24"/>
  <c r="BZ169" i="24" s="1"/>
  <c r="BN169" i="24"/>
  <c r="BX161" i="24"/>
  <c r="BZ161" i="24" s="1"/>
  <c r="BN161" i="24"/>
  <c r="BN123" i="24"/>
  <c r="BX123" i="24"/>
  <c r="BZ123" i="24" s="1"/>
  <c r="CA123" i="24" s="1"/>
  <c r="BX110" i="24"/>
  <c r="BZ110" i="24" s="1"/>
  <c r="CA110" i="24" s="1"/>
  <c r="BN110" i="24"/>
  <c r="BX112" i="24"/>
  <c r="BZ112" i="24" s="1"/>
  <c r="CA112" i="24" s="1"/>
  <c r="BN112" i="24"/>
  <c r="BX172" i="24"/>
  <c r="BZ172" i="24" s="1"/>
  <c r="BN172" i="24"/>
  <c r="BN191" i="24"/>
  <c r="BX191" i="24"/>
  <c r="BZ191" i="24" s="1"/>
  <c r="BX134" i="24"/>
  <c r="BZ134" i="24" s="1"/>
  <c r="CA134" i="24" s="1"/>
  <c r="BN134" i="24"/>
  <c r="BX209" i="24"/>
  <c r="BZ209" i="24" s="1"/>
  <c r="BN209" i="24"/>
  <c r="BX182" i="24"/>
  <c r="BZ182" i="24" s="1"/>
  <c r="BW182" i="24"/>
  <c r="BX114" i="24"/>
  <c r="BZ114" i="24" s="1"/>
  <c r="CA114" i="24" s="1"/>
  <c r="BN114" i="24"/>
  <c r="BN199" i="24"/>
  <c r="BX199" i="24"/>
  <c r="BZ199" i="24" s="1"/>
  <c r="BX208" i="24"/>
  <c r="BZ208" i="24" s="1"/>
  <c r="BN208" i="24"/>
  <c r="BN73" i="24"/>
  <c r="BN51" i="24"/>
  <c r="BX33" i="24"/>
  <c r="BZ33" i="24" s="1"/>
  <c r="CA33" i="24" s="1"/>
  <c r="BX49" i="24"/>
  <c r="BZ49" i="24" s="1"/>
  <c r="CA49" i="24" s="1"/>
  <c r="BW23" i="24"/>
  <c r="BX27" i="24"/>
  <c r="BZ27" i="24" s="1"/>
  <c r="CA27" i="24" s="1"/>
  <c r="BW64" i="24"/>
  <c r="BX88" i="24"/>
  <c r="BZ88" i="24" s="1"/>
  <c r="BX81" i="24"/>
  <c r="BZ81" i="24" s="1"/>
  <c r="BX65" i="24"/>
  <c r="BZ65" i="24" s="1"/>
  <c r="BX35" i="24"/>
  <c r="BZ35" i="24" s="1"/>
  <c r="BI71" i="24"/>
  <c r="BS71" i="24"/>
  <c r="BW71" i="24" s="1"/>
  <c r="BI13" i="24"/>
  <c r="BS13" i="24"/>
  <c r="BW13" i="24" s="1"/>
  <c r="BI15" i="24"/>
  <c r="BS15" i="24"/>
  <c r="BW15" i="24" s="1"/>
  <c r="BI102" i="24"/>
  <c r="BS102" i="24"/>
  <c r="BW102" i="24" s="1"/>
  <c r="BI48" i="24"/>
  <c r="BS48" i="24"/>
  <c r="BW48" i="24" s="1"/>
  <c r="BI93" i="24"/>
  <c r="BS93" i="24"/>
  <c r="BW93" i="24" s="1"/>
  <c r="BS37" i="24"/>
  <c r="BW37" i="24" s="1"/>
  <c r="BI37" i="24"/>
  <c r="BI8" i="24"/>
  <c r="BS8" i="24"/>
  <c r="BW8" i="24" s="1"/>
  <c r="BI94" i="24"/>
  <c r="BS94" i="24"/>
  <c r="BW94" i="24" s="1"/>
  <c r="BI16" i="24"/>
  <c r="BS16" i="24"/>
  <c r="BW16" i="24" s="1"/>
  <c r="BI45" i="24"/>
  <c r="BS45" i="24"/>
  <c r="BW45" i="24" s="1"/>
  <c r="BI30" i="24"/>
  <c r="BS30" i="24"/>
  <c r="BW30" i="24" s="1"/>
  <c r="BI61" i="24"/>
  <c r="BS61" i="24"/>
  <c r="BW61" i="24" s="1"/>
  <c r="BI76" i="24"/>
  <c r="BS76" i="24"/>
  <c r="BW76" i="24" s="1"/>
  <c r="BI103" i="24"/>
  <c r="BS103" i="24"/>
  <c r="BW103" i="24" s="1"/>
  <c r="BS98" i="24"/>
  <c r="BW98" i="24" s="1"/>
  <c r="BI98" i="24"/>
  <c r="BI99" i="24"/>
  <c r="BS99" i="24"/>
  <c r="BW99" i="24" s="1"/>
  <c r="BI17" i="24"/>
  <c r="BS17" i="24"/>
  <c r="BW17" i="24" s="1"/>
  <c r="BI47" i="24"/>
  <c r="BS47" i="24"/>
  <c r="BW47" i="24" s="1"/>
  <c r="BI9" i="24"/>
  <c r="BS9" i="24"/>
  <c r="BW9" i="24" s="1"/>
  <c r="BI12" i="24"/>
  <c r="BS12" i="24"/>
  <c r="BW12" i="24" s="1"/>
  <c r="BS44" i="24"/>
  <c r="BW44" i="24" s="1"/>
  <c r="BI44" i="24"/>
  <c r="BI24" i="24"/>
  <c r="BS24" i="24"/>
  <c r="BW24" i="24" s="1"/>
  <c r="BI77" i="24"/>
  <c r="BS77" i="24"/>
  <c r="BW77" i="24" s="1"/>
  <c r="BS38" i="24"/>
  <c r="BW38" i="24" s="1"/>
  <c r="BI38" i="24"/>
  <c r="BS66" i="24"/>
  <c r="BW66" i="24" s="1"/>
  <c r="BI66" i="24"/>
  <c r="BI57" i="24"/>
  <c r="BS57" i="24"/>
  <c r="BW57" i="24" s="1"/>
  <c r="BI62" i="24"/>
  <c r="BS62" i="24"/>
  <c r="BW62" i="24" s="1"/>
  <c r="BS58" i="24"/>
  <c r="BW58" i="24" s="1"/>
  <c r="BI58" i="24"/>
  <c r="BI80" i="24"/>
  <c r="BS80" i="24"/>
  <c r="BW80" i="24" s="1"/>
  <c r="BS20" i="24"/>
  <c r="BW20" i="24" s="1"/>
  <c r="BI20" i="24"/>
  <c r="BI26" i="24"/>
  <c r="BS26" i="24"/>
  <c r="BW26" i="24" s="1"/>
  <c r="BI11" i="24"/>
  <c r="BS11" i="24"/>
  <c r="BW11" i="24" s="1"/>
  <c r="BI39" i="24"/>
  <c r="BS39" i="24"/>
  <c r="BW39" i="24" s="1"/>
  <c r="BI84" i="24"/>
  <c r="BS84" i="24"/>
  <c r="BW84" i="24" s="1"/>
  <c r="BI67" i="24"/>
  <c r="BS67" i="24"/>
  <c r="BW67" i="24" s="1"/>
  <c r="BI75" i="24"/>
  <c r="BS75" i="24"/>
  <c r="BW75" i="24" s="1"/>
  <c r="BI52" i="24"/>
  <c r="BS52" i="24"/>
  <c r="BW52" i="24" s="1"/>
  <c r="BS90" i="24"/>
  <c r="BW90" i="24" s="1"/>
  <c r="BI90" i="24"/>
  <c r="BI6" i="24"/>
  <c r="BS6" i="24"/>
  <c r="BW6" i="24" s="1"/>
  <c r="BI7" i="24"/>
  <c r="BS7" i="24"/>
  <c r="BW7" i="24" s="1"/>
  <c r="B160" i="2"/>
  <c r="C45" i="16" s="1"/>
  <c r="BM5" i="25"/>
  <c r="BY5" i="25"/>
  <c r="CA5" i="25" s="1"/>
  <c r="CB5" i="25" s="1"/>
  <c r="BX5" i="25"/>
  <c r="BX43" i="24" l="1"/>
  <c r="BZ43" i="24" s="1"/>
  <c r="CA43" i="24" s="1"/>
  <c r="CA130" i="24"/>
  <c r="CE130" i="24"/>
  <c r="CA136" i="24"/>
  <c r="CE136" i="24"/>
  <c r="CA35" i="24"/>
  <c r="CE35" i="24"/>
  <c r="CA65" i="24"/>
  <c r="CE65" i="24"/>
  <c r="CA165" i="24"/>
  <c r="CE165" i="24"/>
  <c r="CA81" i="24"/>
  <c r="CE81" i="24"/>
  <c r="CA119" i="24"/>
  <c r="CE119" i="24"/>
  <c r="CA88" i="24"/>
  <c r="CE88" i="24"/>
  <c r="CA156" i="24"/>
  <c r="CE156" i="24"/>
  <c r="CA161" i="24"/>
  <c r="CE161" i="24"/>
  <c r="CA193" i="24"/>
  <c r="CE193" i="24"/>
  <c r="CA172" i="24"/>
  <c r="CE172" i="24"/>
  <c r="CA189" i="24"/>
  <c r="CE189" i="24"/>
  <c r="CA141" i="24"/>
  <c r="CE141" i="24"/>
  <c r="CA86" i="24"/>
  <c r="CE86" i="24"/>
  <c r="CA188" i="24"/>
  <c r="CE188" i="24"/>
  <c r="CA208" i="24"/>
  <c r="CE208" i="24"/>
  <c r="CA167" i="24"/>
  <c r="CE167" i="24"/>
  <c r="CA155" i="24"/>
  <c r="CE155" i="24"/>
  <c r="CA97" i="24"/>
  <c r="CE97" i="24"/>
  <c r="CA182" i="24"/>
  <c r="CE182" i="24"/>
  <c r="CA176" i="24"/>
  <c r="CE176" i="24"/>
  <c r="CA195" i="24"/>
  <c r="CE195" i="24"/>
  <c r="CA191" i="24"/>
  <c r="CE191" i="24"/>
  <c r="CA203" i="24"/>
  <c r="CE203" i="24"/>
  <c r="CA192" i="24"/>
  <c r="CE192" i="24"/>
  <c r="CA169" i="24"/>
  <c r="CE169" i="24"/>
  <c r="B247" i="2"/>
  <c r="CA149" i="24"/>
  <c r="CE149" i="24"/>
  <c r="CA210" i="24"/>
  <c r="CE210" i="24"/>
  <c r="CA194" i="24"/>
  <c r="CE194" i="24"/>
  <c r="CA209" i="24"/>
  <c r="CE209" i="24"/>
  <c r="CA199" i="24"/>
  <c r="CE199" i="24"/>
  <c r="CF211" i="25"/>
  <c r="CA168" i="24"/>
  <c r="CE168" i="24"/>
  <c r="BN71" i="24"/>
  <c r="BX71" i="24"/>
  <c r="BZ71" i="24" s="1"/>
  <c r="BN13" i="24"/>
  <c r="BX13" i="24"/>
  <c r="BZ13" i="24" s="1"/>
  <c r="CA13" i="24" s="1"/>
  <c r="BN15" i="24"/>
  <c r="BX15" i="24"/>
  <c r="BZ15" i="24" s="1"/>
  <c r="CA15" i="24" s="1"/>
  <c r="B249" i="2" s="1"/>
  <c r="BN48" i="24"/>
  <c r="BX48" i="24"/>
  <c r="BZ48" i="24" s="1"/>
  <c r="BN102" i="24"/>
  <c r="BX102" i="24"/>
  <c r="BZ102" i="24" s="1"/>
  <c r="BN93" i="24"/>
  <c r="BX93" i="24"/>
  <c r="BZ93" i="24" s="1"/>
  <c r="BX37" i="24"/>
  <c r="BZ37" i="24" s="1"/>
  <c r="CA37" i="24" s="1"/>
  <c r="BN37" i="24"/>
  <c r="BN8" i="24"/>
  <c r="BX8" i="24"/>
  <c r="BZ8" i="24" s="1"/>
  <c r="CA8" i="24" s="1"/>
  <c r="BN94" i="24"/>
  <c r="BX94" i="24"/>
  <c r="BZ94" i="24" s="1"/>
  <c r="CA94" i="24" s="1"/>
  <c r="BN20" i="24"/>
  <c r="BX20" i="24"/>
  <c r="BZ20" i="24" s="1"/>
  <c r="BX58" i="24"/>
  <c r="BZ58" i="24" s="1"/>
  <c r="CA58" i="24" s="1"/>
  <c r="BN58" i="24"/>
  <c r="BX38" i="24"/>
  <c r="BZ38" i="24" s="1"/>
  <c r="BN38" i="24"/>
  <c r="BN84" i="24"/>
  <c r="BX84" i="24"/>
  <c r="BZ84" i="24" s="1"/>
  <c r="CA84" i="24" s="1"/>
  <c r="BN24" i="24"/>
  <c r="BX24" i="24"/>
  <c r="BZ24" i="24" s="1"/>
  <c r="CA24" i="24" s="1"/>
  <c r="BN103" i="24"/>
  <c r="BX103" i="24"/>
  <c r="BZ103" i="24" s="1"/>
  <c r="BX98" i="24"/>
  <c r="BZ98" i="24" s="1"/>
  <c r="BN98" i="24"/>
  <c r="BN75" i="24"/>
  <c r="BX75" i="24"/>
  <c r="BZ75" i="24" s="1"/>
  <c r="BN11" i="24"/>
  <c r="BX11" i="24"/>
  <c r="BZ11" i="24" s="1"/>
  <c r="CA11" i="24" s="1"/>
  <c r="BN57" i="24"/>
  <c r="BX57" i="24"/>
  <c r="BZ57" i="24" s="1"/>
  <c r="CA57" i="24" s="1"/>
  <c r="BN12" i="24"/>
  <c r="BX12" i="24"/>
  <c r="BZ12" i="24" s="1"/>
  <c r="CA12" i="24" s="1"/>
  <c r="BN47" i="24"/>
  <c r="BX47" i="24"/>
  <c r="BZ47" i="24" s="1"/>
  <c r="BN99" i="24"/>
  <c r="BX99" i="24"/>
  <c r="BZ99" i="24" s="1"/>
  <c r="CA99" i="24" s="1"/>
  <c r="BN61" i="24"/>
  <c r="BX61" i="24"/>
  <c r="BZ61" i="24" s="1"/>
  <c r="BN45" i="24"/>
  <c r="BX45" i="24"/>
  <c r="BZ45" i="24" s="1"/>
  <c r="CE45" i="24" s="1"/>
  <c r="BX66" i="24"/>
  <c r="BZ66" i="24" s="1"/>
  <c r="BN66" i="24"/>
  <c r="BX44" i="24"/>
  <c r="BZ44" i="24" s="1"/>
  <c r="CA44" i="24" s="1"/>
  <c r="BN44" i="24"/>
  <c r="BX90" i="24"/>
  <c r="BZ90" i="24" s="1"/>
  <c r="BN90" i="24"/>
  <c r="BN52" i="24"/>
  <c r="BX52" i="24"/>
  <c r="BZ52" i="24" s="1"/>
  <c r="BN67" i="24"/>
  <c r="BX67" i="24"/>
  <c r="BZ67" i="24" s="1"/>
  <c r="BN39" i="24"/>
  <c r="BX39" i="24"/>
  <c r="BZ39" i="24" s="1"/>
  <c r="BN26" i="24"/>
  <c r="BX26" i="24"/>
  <c r="BZ26" i="24" s="1"/>
  <c r="CA26" i="24" s="1"/>
  <c r="BN80" i="24"/>
  <c r="BX80" i="24"/>
  <c r="BZ80" i="24" s="1"/>
  <c r="BN62" i="24"/>
  <c r="BX62" i="24"/>
  <c r="BZ62" i="24" s="1"/>
  <c r="BN77" i="24"/>
  <c r="BX77" i="24"/>
  <c r="BZ77" i="24" s="1"/>
  <c r="BN9" i="24"/>
  <c r="BX9" i="24"/>
  <c r="BZ9" i="24" s="1"/>
  <c r="CA9" i="24" s="1"/>
  <c r="BN17" i="24"/>
  <c r="BX17" i="24"/>
  <c r="BZ17" i="24" s="1"/>
  <c r="CA17" i="24" s="1"/>
  <c r="BN76" i="24"/>
  <c r="BX76" i="24"/>
  <c r="BZ76" i="24" s="1"/>
  <c r="CA76" i="24" s="1"/>
  <c r="BN30" i="24"/>
  <c r="BX30" i="24"/>
  <c r="BZ30" i="24" s="1"/>
  <c r="CA30" i="24" s="1"/>
  <c r="BN16" i="24"/>
  <c r="BX16" i="24"/>
  <c r="BZ16" i="24" s="1"/>
  <c r="CA16" i="24" s="1"/>
  <c r="BN7" i="24"/>
  <c r="BX7" i="24"/>
  <c r="BZ7" i="24" s="1"/>
  <c r="CA7" i="24" s="1"/>
  <c r="BN6" i="24"/>
  <c r="BX6" i="24"/>
  <c r="BZ6" i="24" s="1"/>
  <c r="CA6" i="24" s="1"/>
  <c r="B226" i="2"/>
  <c r="D45" i="16" s="1"/>
  <c r="E33" i="1"/>
  <c r="A226" i="2"/>
  <c r="CA38" i="24" l="1"/>
  <c r="CE38" i="24"/>
  <c r="CA90" i="24"/>
  <c r="CE90" i="24"/>
  <c r="CA80" i="24"/>
  <c r="CE80" i="24"/>
  <c r="CA77" i="24"/>
  <c r="CE77" i="24"/>
  <c r="CA102" i="24"/>
  <c r="CE102" i="24"/>
  <c r="CA39" i="24"/>
  <c r="CE39" i="24"/>
  <c r="CA48" i="24"/>
  <c r="CE48" i="24"/>
  <c r="CA61" i="24"/>
  <c r="CE61" i="24"/>
  <c r="CA62" i="24"/>
  <c r="CE62" i="24"/>
  <c r="CA52" i="24"/>
  <c r="CE52" i="24"/>
  <c r="CA75" i="24"/>
  <c r="CE75" i="24"/>
  <c r="CA103" i="24"/>
  <c r="CE103" i="24"/>
  <c r="CA71" i="24"/>
  <c r="CE71" i="24"/>
  <c r="CA66" i="24"/>
  <c r="CE66" i="24"/>
  <c r="CA93" i="24"/>
  <c r="CE93" i="24"/>
  <c r="CA47" i="24"/>
  <c r="CE47" i="24"/>
  <c r="CA98" i="24"/>
  <c r="CE98" i="24"/>
  <c r="CA20" i="24"/>
  <c r="CE20" i="24"/>
  <c r="CF211" i="24"/>
  <c r="CA67" i="24"/>
  <c r="CE67" i="24"/>
  <c r="CA45" i="24"/>
</calcChain>
</file>

<file path=xl/comments1.xml><?xml version="1.0" encoding="utf-8"?>
<comments xmlns="http://schemas.openxmlformats.org/spreadsheetml/2006/main">
  <authors>
    <author>Timothy Hegarty</author>
    <author>Hegarty, Timothy</author>
  </authors>
  <commentList>
    <comment ref="A3" authorId="0">
      <text>
        <r>
          <rPr>
            <b/>
            <sz val="11"/>
            <color indexed="10"/>
            <rFont val="Tahoma"/>
            <family val="2"/>
          </rPr>
          <t>Welcome to the LM25183/4-Q1 Design Tool</t>
        </r>
        <r>
          <rPr>
            <sz val="9"/>
            <color indexed="81"/>
            <rFont val="Tahoma"/>
            <family val="2"/>
          </rPr>
          <t xml:space="preserve">
This stand-alone tool facilitates and assists the power supply engineer with design of an isolated DC/DC regulator based on the </t>
        </r>
        <r>
          <rPr>
            <b/>
            <sz val="9"/>
            <color indexed="81"/>
            <rFont val="Tahoma"/>
            <family val="2"/>
          </rPr>
          <t>LM25183/4-Q1 low I</t>
        </r>
        <r>
          <rPr>
            <b/>
            <vertAlign val="subscript"/>
            <sz val="9"/>
            <color indexed="81"/>
            <rFont val="Tahoma"/>
            <family val="2"/>
          </rPr>
          <t>Q</t>
        </r>
        <r>
          <rPr>
            <b/>
            <sz val="9"/>
            <color indexed="81"/>
            <rFont val="Tahoma"/>
            <family val="2"/>
          </rPr>
          <t xml:space="preserve"> PSR flyback converter</t>
        </r>
        <r>
          <rPr>
            <sz val="9"/>
            <color indexed="81"/>
            <rFont val="Tahoma"/>
            <family val="2"/>
          </rPr>
          <t xml:space="preserve">. As such, the user can expeditiously arrive at an optimized design by virtue of the following:
- Select transformer parameters including turns ratio and mag inductance
- Determine input and output capacitances for specified ripple requirements (1% Vout and 5% Vin)
- Select components for feedback, soft-start, input UVLO, and temperature compensation
- Advise componnets (usually optional) for SW voltage clamp and and flyback diode snubber
- Optimize the design using efficiency and solution size as key performance metrics
- Inspect converter efficiency and switching frequency over load and line
- Analyze efficiency based on selected component parameters
- Review auto-generated schematic and BOM list
</t>
        </r>
        <r>
          <rPr>
            <b/>
            <sz val="9"/>
            <color indexed="81"/>
            <rFont val="Tahoma"/>
            <family val="2"/>
          </rPr>
          <t>IMPORTANT:</t>
        </r>
        <r>
          <rPr>
            <sz val="9"/>
            <color indexed="81"/>
            <rFont val="Tahoma"/>
            <family val="2"/>
          </rPr>
          <t xml:space="preserve"> You must enable macros if Microsoft EXCEL asks as the file is being opened.
U.S. English notation is used throughout.
</t>
        </r>
        <r>
          <rPr>
            <u/>
            <sz val="9"/>
            <color indexed="12"/>
            <rFont val="Tahoma"/>
            <family val="2"/>
          </rPr>
          <t>http://www.ti.com/widevin/</t>
        </r>
        <r>
          <rPr>
            <sz val="9"/>
            <color indexed="81"/>
            <rFont val="Tahoma"/>
            <family val="2"/>
          </rPr>
          <t xml:space="preserve">
</t>
        </r>
        <r>
          <rPr>
            <b/>
            <sz val="9"/>
            <color indexed="81"/>
            <rFont val="Tahoma"/>
            <family val="2"/>
          </rPr>
          <t xml:space="preserve">
Rev A, Timothy Hegarty, Texas Instruments, Inc.</t>
        </r>
      </text>
    </comment>
    <comment ref="U3" authorId="0">
      <text>
        <r>
          <rPr>
            <b/>
            <u/>
            <sz val="11"/>
            <color indexed="10"/>
            <rFont val="Tahoma"/>
            <family val="2"/>
          </rPr>
          <t>Texas Instruments</t>
        </r>
        <r>
          <rPr>
            <sz val="11"/>
            <color indexed="10"/>
            <rFont val="Tahoma"/>
            <family val="2"/>
          </rPr>
          <t>:</t>
        </r>
        <r>
          <rPr>
            <sz val="9"/>
            <color indexed="81"/>
            <rFont val="Tahoma"/>
            <family val="2"/>
          </rPr>
          <t xml:space="preserve">
</t>
        </r>
        <r>
          <rPr>
            <b/>
            <sz val="9"/>
            <color indexed="81"/>
            <rFont val="Tahoma"/>
            <family val="2"/>
          </rPr>
          <t>Limited Use Policy</t>
        </r>
        <r>
          <rPr>
            <sz val="9"/>
            <color indexed="81"/>
            <rFont val="Tahoma"/>
            <family val="2"/>
          </rPr>
          <t xml:space="preserve">
You must treat this software and documentation like any other copyrighted material.
</t>
        </r>
        <r>
          <rPr>
            <b/>
            <sz val="9"/>
            <color indexed="81"/>
            <rFont val="Tahoma"/>
            <family val="2"/>
          </rPr>
          <t>You may not:</t>
        </r>
        <r>
          <rPr>
            <sz val="9"/>
            <color indexed="81"/>
            <rFont val="Tahoma"/>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design tool and recommends that all designs be fully tested and carefully verified. Refer to the LM25183/4 product datasheet and EVM user's guide for more details.
</t>
        </r>
        <r>
          <rPr>
            <b/>
            <sz val="9"/>
            <color indexed="81"/>
            <rFont val="Tahoma"/>
            <family val="2"/>
          </rPr>
          <t>Rev A, Timothy Hegarty, Texas Instruments, Inc.</t>
        </r>
      </text>
    </comment>
    <comment ref="F6" authorId="0">
      <text>
        <r>
          <rPr>
            <b/>
            <u/>
            <sz val="9"/>
            <color indexed="81"/>
            <rFont val="Tahoma"/>
            <family val="2"/>
          </rPr>
          <t>Minimum Input Voltage</t>
        </r>
        <r>
          <rPr>
            <b/>
            <sz val="9"/>
            <color indexed="81"/>
            <rFont val="Tahoma"/>
            <family val="2"/>
          </rPr>
          <t>:</t>
        </r>
        <r>
          <rPr>
            <sz val="9"/>
            <color indexed="81"/>
            <rFont val="Tahoma"/>
            <family val="2"/>
          </rPr>
          <t xml:space="preserve">
Enter the minimum input operating voltage.
The LM25183/4 input voltage operating range is 4.5V to 42V.
</t>
        </r>
        <r>
          <rPr>
            <b/>
            <sz val="9"/>
            <color indexed="81"/>
            <rFont val="Tahoma"/>
            <family val="2"/>
          </rPr>
          <t>The text in this cell is red if:</t>
        </r>
        <r>
          <rPr>
            <sz val="9"/>
            <color indexed="81"/>
            <rFont val="Tahoma"/>
            <family val="2"/>
          </rPr>
          <t xml:space="preserve">
-The input voltage is above </t>
        </r>
        <r>
          <rPr>
            <b/>
            <sz val="9"/>
            <color indexed="10"/>
            <rFont val="Tahoma"/>
            <family val="2"/>
          </rPr>
          <t>42V</t>
        </r>
        <r>
          <rPr>
            <sz val="9"/>
            <color indexed="81"/>
            <rFont val="Tahoma"/>
            <family val="2"/>
          </rPr>
          <t xml:space="preserve">
-The input voltage is below </t>
        </r>
        <r>
          <rPr>
            <b/>
            <sz val="9"/>
            <color indexed="10"/>
            <rFont val="Tahoma"/>
            <family val="2"/>
          </rPr>
          <t>4.5V</t>
        </r>
      </text>
    </comment>
    <comment ref="M6" authorId="0">
      <text>
        <r>
          <rPr>
            <b/>
            <u/>
            <sz val="9"/>
            <color indexed="81"/>
            <rFont val="Tahoma"/>
            <family val="2"/>
          </rPr>
          <t>Minimum Magnetizing Inductance</t>
        </r>
        <r>
          <rPr>
            <b/>
            <sz val="9"/>
            <color indexed="81"/>
            <rFont val="Tahoma"/>
            <family val="2"/>
          </rPr>
          <t xml:space="preserve">:
</t>
        </r>
        <r>
          <rPr>
            <sz val="9"/>
            <color indexed="81"/>
            <rFont val="Tahoma"/>
            <family val="2"/>
          </rPr>
          <t>The minimum magnetizing inductance is set by the off-time constraint at light loads (in FFM). The requirement is that the magnetizing current must not decrease to zero in less than 500ns.</t>
        </r>
      </text>
    </comment>
    <comment ref="F7" authorId="0">
      <text>
        <r>
          <rPr>
            <b/>
            <u/>
            <sz val="9"/>
            <color indexed="81"/>
            <rFont val="Tahoma"/>
            <family val="2"/>
          </rPr>
          <t>Nominal Input Voltage</t>
        </r>
        <r>
          <rPr>
            <b/>
            <sz val="9"/>
            <color indexed="81"/>
            <rFont val="Tahoma"/>
            <family val="2"/>
          </rPr>
          <t>:</t>
        </r>
        <r>
          <rPr>
            <sz val="9"/>
            <color indexed="81"/>
            <rFont val="Tahoma"/>
            <family val="2"/>
          </rPr>
          <t xml:space="preserve">
Enter the nominal input operating voltage.
The LM25183/4 input voltage operating range is 4.5V to 42V.
</t>
        </r>
        <r>
          <rPr>
            <b/>
            <sz val="9"/>
            <color indexed="81"/>
            <rFont val="Tahoma"/>
            <family val="2"/>
          </rPr>
          <t>The text in this cell is red if:</t>
        </r>
        <r>
          <rPr>
            <sz val="9"/>
            <color indexed="81"/>
            <rFont val="Tahoma"/>
            <family val="2"/>
          </rPr>
          <t xml:space="preserve">
-The input voltage is above </t>
        </r>
        <r>
          <rPr>
            <b/>
            <sz val="9"/>
            <color indexed="10"/>
            <rFont val="Tahoma"/>
            <family val="2"/>
          </rPr>
          <t>42V</t>
        </r>
        <r>
          <rPr>
            <sz val="9"/>
            <color indexed="81"/>
            <rFont val="Tahoma"/>
            <family val="2"/>
          </rPr>
          <t xml:space="preserve">
-The input voltage is below </t>
        </r>
        <r>
          <rPr>
            <b/>
            <sz val="9"/>
            <color indexed="10"/>
            <rFont val="Tahoma"/>
            <family val="2"/>
          </rPr>
          <t>4.5V</t>
        </r>
      </text>
    </comment>
    <comment ref="M7" authorId="0">
      <text>
        <r>
          <rPr>
            <b/>
            <u/>
            <sz val="9"/>
            <color indexed="81"/>
            <rFont val="Tahoma"/>
            <family val="2"/>
          </rPr>
          <t>Magnetizing Inductance</t>
        </r>
        <r>
          <rPr>
            <b/>
            <sz val="9"/>
            <color indexed="81"/>
            <rFont val="Tahoma"/>
            <family val="2"/>
          </rPr>
          <t xml:space="preserve">:
</t>
        </r>
        <r>
          <rPr>
            <sz val="9"/>
            <color indexed="81"/>
            <rFont val="Tahoma"/>
            <family val="2"/>
          </rPr>
          <t xml:space="preserve">Enter the transformer mag inductance here. </t>
        </r>
        <r>
          <rPr>
            <b/>
            <sz val="9"/>
            <color indexed="81"/>
            <rFont val="Tahoma"/>
            <family val="2"/>
          </rPr>
          <t>Use a value greater than the minimum mag inductance</t>
        </r>
        <r>
          <rPr>
            <sz val="9"/>
            <color indexed="81"/>
            <rFont val="Tahoma"/>
            <family val="2"/>
          </rPr>
          <t xml:space="preserve"> calculated above.
A lower mag inductance value provides an earlier transition from FFM to DCM but pushes out (or entirely eliminates) BCM operation. The main priviso is that the rated output current is achieved at nominal input voltage, and this is primarily set by the peak current limit and the transformer turns ratio.
</t>
        </r>
        <r>
          <rPr>
            <b/>
            <sz val="9"/>
            <color indexed="81"/>
            <rFont val="Tahoma"/>
            <family val="2"/>
          </rPr>
          <t xml:space="preserve">This cell is flagged </t>
        </r>
        <r>
          <rPr>
            <b/>
            <sz val="9"/>
            <color indexed="10"/>
            <rFont val="Tahoma"/>
            <family val="2"/>
          </rPr>
          <t>RED</t>
        </r>
        <r>
          <rPr>
            <b/>
            <sz val="9"/>
            <color indexed="81"/>
            <rFont val="Tahoma"/>
            <family val="2"/>
          </rPr>
          <t xml:space="preserve"> if:</t>
        </r>
        <r>
          <rPr>
            <b/>
            <sz val="9"/>
            <color indexed="39"/>
            <rFont val="Tahoma"/>
            <family val="2"/>
          </rPr>
          <t xml:space="preserve">
</t>
        </r>
        <r>
          <rPr>
            <b/>
            <sz val="9"/>
            <color indexed="10"/>
            <rFont val="Tahoma"/>
            <family val="2"/>
          </rPr>
          <t>-The chosen inductance is less than the minimum requirement.</t>
        </r>
      </text>
    </comment>
    <comment ref="F8" authorId="0">
      <text>
        <r>
          <rPr>
            <b/>
            <u/>
            <sz val="9"/>
            <color indexed="81"/>
            <rFont val="Tahoma"/>
            <family val="2"/>
          </rPr>
          <t>Maximum Input Voltage</t>
        </r>
        <r>
          <rPr>
            <b/>
            <sz val="9"/>
            <color indexed="81"/>
            <rFont val="Tahoma"/>
            <family val="2"/>
          </rPr>
          <t>:</t>
        </r>
        <r>
          <rPr>
            <sz val="9"/>
            <color indexed="81"/>
            <rFont val="Tahoma"/>
            <family val="2"/>
          </rPr>
          <t xml:space="preserve">
Enter the maximum input operating voltage.
The LM25183/4 input voltage operating range is 4.5V to 42V.
</t>
        </r>
        <r>
          <rPr>
            <b/>
            <sz val="9"/>
            <color indexed="81"/>
            <rFont val="Tahoma"/>
            <family val="2"/>
          </rPr>
          <t>The text in this cell is red if:</t>
        </r>
        <r>
          <rPr>
            <sz val="9"/>
            <color indexed="81"/>
            <rFont val="Tahoma"/>
            <family val="2"/>
          </rPr>
          <t xml:space="preserve">
-The input voltage is above </t>
        </r>
        <r>
          <rPr>
            <b/>
            <sz val="9"/>
            <color indexed="10"/>
            <rFont val="Tahoma"/>
            <family val="2"/>
          </rPr>
          <t>42V</t>
        </r>
        <r>
          <rPr>
            <sz val="9"/>
            <color indexed="81"/>
            <rFont val="Tahoma"/>
            <family val="2"/>
          </rPr>
          <t xml:space="preserve">
-The input voltage is below </t>
        </r>
        <r>
          <rPr>
            <b/>
            <sz val="9"/>
            <color indexed="10"/>
            <rFont val="Tahoma"/>
            <family val="2"/>
          </rPr>
          <t>4.5V</t>
        </r>
      </text>
    </comment>
    <comment ref="M8" authorId="0">
      <text>
        <r>
          <rPr>
            <b/>
            <u/>
            <sz val="9"/>
            <color indexed="81"/>
            <rFont val="Tahoma"/>
            <family val="2"/>
          </rPr>
          <t>Primary Winding DCR</t>
        </r>
        <r>
          <rPr>
            <b/>
            <sz val="9"/>
            <color indexed="81"/>
            <rFont val="Tahoma"/>
            <family val="2"/>
          </rPr>
          <t xml:space="preserve">:
</t>
        </r>
        <r>
          <rPr>
            <sz val="9"/>
            <color indexed="81"/>
            <rFont val="Tahoma"/>
            <family val="2"/>
          </rPr>
          <t>Enter the primary winding DC resistance (DCR) here. This is typically specified in the transformer datasheet at 25°C copper temperature.</t>
        </r>
      </text>
    </comment>
    <comment ref="M9" authorId="0">
      <text>
        <r>
          <rPr>
            <b/>
            <u/>
            <sz val="9"/>
            <color indexed="81"/>
            <rFont val="Tahoma"/>
            <family val="2"/>
          </rPr>
          <t>Secondary Winding DCR</t>
        </r>
        <r>
          <rPr>
            <b/>
            <sz val="9"/>
            <color indexed="81"/>
            <rFont val="Tahoma"/>
            <family val="2"/>
          </rPr>
          <t xml:space="preserve">:
</t>
        </r>
        <r>
          <rPr>
            <sz val="9"/>
            <color indexed="81"/>
            <rFont val="Tahoma"/>
            <family val="2"/>
          </rPr>
          <t>Enter the secondary winding DCR here. This is typically specified in the transformer datasheet at 25°C copper temperature.</t>
        </r>
      </text>
    </comment>
    <comment ref="F10" authorId="0">
      <text>
        <r>
          <rPr>
            <b/>
            <u/>
            <sz val="9"/>
            <color indexed="81"/>
            <rFont val="Tahoma"/>
            <family val="2"/>
          </rPr>
          <t>Output Voltage</t>
        </r>
        <r>
          <rPr>
            <b/>
            <sz val="9"/>
            <color indexed="81"/>
            <rFont val="Tahoma"/>
            <family val="2"/>
          </rPr>
          <t xml:space="preserve">:
</t>
        </r>
        <r>
          <rPr>
            <sz val="9"/>
            <color indexed="81"/>
            <rFont val="Tahoma"/>
            <family val="2"/>
          </rPr>
          <t xml:space="preserve">Enter the desired </t>
        </r>
        <r>
          <rPr>
            <sz val="9"/>
            <color indexed="8"/>
            <rFont val="Tahoma"/>
            <family val="2"/>
          </rPr>
          <t>output</t>
        </r>
        <r>
          <rPr>
            <sz val="9"/>
            <color indexed="81"/>
            <rFont val="Tahoma"/>
            <family val="2"/>
          </rPr>
          <t xml:space="preserve"> voltage here.</t>
        </r>
      </text>
    </comment>
    <comment ref="F11" authorId="0">
      <text>
        <r>
          <rPr>
            <b/>
            <u/>
            <sz val="9"/>
            <color indexed="81"/>
            <rFont val="Tahoma"/>
            <family val="2"/>
          </rPr>
          <t>Output Current</t>
        </r>
        <r>
          <rPr>
            <b/>
            <sz val="9"/>
            <color indexed="81"/>
            <rFont val="Tahoma"/>
            <family val="2"/>
          </rPr>
          <t xml:space="preserve">:
</t>
        </r>
        <r>
          <rPr>
            <sz val="9"/>
            <color indexed="81"/>
            <rFont val="Tahoma"/>
            <family val="2"/>
          </rPr>
          <t>Enter the desired output current here.</t>
        </r>
        <r>
          <rPr>
            <b/>
            <sz val="9"/>
            <color indexed="81"/>
            <rFont val="Tahoma"/>
            <family val="2"/>
          </rPr>
          <t xml:space="preserve">
</t>
        </r>
        <r>
          <rPr>
            <b/>
            <sz val="9"/>
            <color indexed="10"/>
            <rFont val="Tahoma"/>
            <family val="2"/>
          </rPr>
          <t xml:space="preserve">
</t>
        </r>
      </text>
    </comment>
    <comment ref="M14" authorId="0">
      <text>
        <r>
          <rPr>
            <b/>
            <u/>
            <sz val="9"/>
            <color indexed="81"/>
            <rFont val="Tahoma"/>
            <family val="2"/>
          </rPr>
          <t>Max Duty Cycle</t>
        </r>
        <r>
          <rPr>
            <b/>
            <sz val="9"/>
            <color indexed="81"/>
            <rFont val="Tahoma"/>
            <family val="2"/>
          </rPr>
          <t xml:space="preserve">:
</t>
        </r>
        <r>
          <rPr>
            <sz val="9"/>
            <color indexed="81"/>
            <rFont val="Tahoma"/>
            <family val="2"/>
          </rPr>
          <t>The max operating duty cycle is preferably kept below 75% to prevent high peak/rms currents in the flyback diode(s) and secondary winding(s).</t>
        </r>
      </text>
    </comment>
    <comment ref="M15" authorId="0">
      <text>
        <r>
          <rPr>
            <b/>
            <u/>
            <sz val="9"/>
            <color indexed="81"/>
            <rFont val="Tahoma"/>
            <family val="2"/>
          </rPr>
          <t>Max Output Current at VIN(min)</t>
        </r>
        <r>
          <rPr>
            <b/>
            <sz val="9"/>
            <color indexed="81"/>
            <rFont val="Tahoma"/>
            <family val="2"/>
          </rPr>
          <t xml:space="preserve">:
</t>
        </r>
        <r>
          <rPr>
            <sz val="9"/>
            <color indexed="81"/>
            <rFont val="Tahoma"/>
            <family val="2"/>
          </rPr>
          <t>The output power is most limited at minimum input operating voltage. Adjust the transformer turns ratio if needed.</t>
        </r>
      </text>
    </comment>
    <comment ref="F16" authorId="0">
      <text>
        <r>
          <rPr>
            <b/>
            <u/>
            <sz val="9"/>
            <color indexed="81"/>
            <rFont val="Tahoma"/>
            <family val="2"/>
          </rPr>
          <t>Minimum Recommended Cin</t>
        </r>
        <r>
          <rPr>
            <b/>
            <sz val="9"/>
            <color indexed="81"/>
            <rFont val="Tahoma"/>
            <family val="2"/>
          </rPr>
          <t xml:space="preserve">:
</t>
        </r>
        <r>
          <rPr>
            <sz val="9"/>
            <color indexed="81"/>
            <rFont val="Tahoma"/>
            <family val="2"/>
          </rPr>
          <t xml:space="preserve">This is the minimum input cap based on 10% pk-pk voltage ripple at the input.
</t>
        </r>
        <r>
          <rPr>
            <sz val="9"/>
            <color indexed="39"/>
            <rFont val="Tahoma"/>
            <family val="2"/>
          </rPr>
          <t xml:space="preserve">
</t>
        </r>
        <r>
          <rPr>
            <b/>
            <sz val="9"/>
            <color indexed="39"/>
            <rFont val="Tahoma"/>
            <family val="2"/>
          </rPr>
          <t>This condition is derived at VIN(nom).</t>
        </r>
        <r>
          <rPr>
            <b/>
            <sz val="9"/>
            <color indexed="81"/>
            <rFont val="Tahoma"/>
            <family val="2"/>
          </rPr>
          <t xml:space="preserve">
</t>
        </r>
      </text>
    </comment>
    <comment ref="F17" authorId="0">
      <text>
        <r>
          <rPr>
            <b/>
            <u/>
            <sz val="9"/>
            <color indexed="81"/>
            <rFont val="Tahoma"/>
            <family val="2"/>
          </rPr>
          <t>Input Capacitance</t>
        </r>
        <r>
          <rPr>
            <b/>
            <sz val="9"/>
            <color indexed="81"/>
            <rFont val="Tahoma"/>
            <family val="2"/>
          </rPr>
          <t xml:space="preserve">:
</t>
        </r>
        <r>
          <rPr>
            <sz val="9"/>
            <color indexed="81"/>
            <rFont val="Tahoma"/>
            <family val="2"/>
          </rPr>
          <t xml:space="preserve">Enter the input capacitance here based on the minimum calculated result. Ensure that the nominal capacitance is appropriately derated for applied voltage.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chosen input capacitor is smaller than the minimum ideal capacitance.</t>
        </r>
      </text>
    </comment>
    <comment ref="F18" authorId="0">
      <text>
        <r>
          <rPr>
            <b/>
            <u/>
            <sz val="9"/>
            <color indexed="81"/>
            <rFont val="Tahoma"/>
            <family val="2"/>
          </rPr>
          <t>Input Capacitor ESR</t>
        </r>
        <r>
          <rPr>
            <b/>
            <sz val="9"/>
            <color indexed="81"/>
            <rFont val="Tahoma"/>
            <family val="2"/>
          </rPr>
          <t xml:space="preserve">:
</t>
        </r>
        <r>
          <rPr>
            <sz val="9"/>
            <color indexed="81"/>
            <rFont val="Tahoma"/>
            <family val="2"/>
          </rPr>
          <t>Enter the input capacitor ESR here based on the maximum allowed input capacitor ESR to meet the ripple voltage specification.</t>
        </r>
        <r>
          <rPr>
            <b/>
            <sz val="9"/>
            <color indexed="81"/>
            <rFont val="Tahoma"/>
            <family val="2"/>
          </rPr>
          <t xml:space="preserve">
The text in this cell will be </t>
        </r>
        <r>
          <rPr>
            <b/>
            <sz val="9"/>
            <color indexed="10"/>
            <rFont val="Tahoma"/>
            <family val="2"/>
          </rPr>
          <t>red</t>
        </r>
        <r>
          <rPr>
            <b/>
            <sz val="9"/>
            <color indexed="81"/>
            <rFont val="Tahoma"/>
            <family val="2"/>
          </rPr>
          <t xml:space="preserve"> if:
</t>
        </r>
        <r>
          <rPr>
            <b/>
            <sz val="9"/>
            <color indexed="10"/>
            <rFont val="Tahoma"/>
            <family val="2"/>
          </rPr>
          <t>-ESR is zero, or
-ESR exceeds maximum allowable ESR to meet the voltage ripple specification.</t>
        </r>
        <r>
          <rPr>
            <sz val="11"/>
            <color indexed="81"/>
            <rFont val="Tahoma"/>
            <family val="2"/>
          </rPr>
          <t xml:space="preserve">
</t>
        </r>
      </text>
    </comment>
    <comment ref="F20" authorId="0">
      <text>
        <r>
          <rPr>
            <b/>
            <u/>
            <sz val="9"/>
            <color indexed="81"/>
            <rFont val="Tahoma"/>
            <family val="2"/>
          </rPr>
          <t>Minimum Recommneded Cout</t>
        </r>
        <r>
          <rPr>
            <b/>
            <sz val="9"/>
            <color indexed="81"/>
            <rFont val="Tahoma"/>
            <family val="2"/>
          </rPr>
          <t xml:space="preserve">:
</t>
        </r>
        <r>
          <rPr>
            <sz val="9"/>
            <color indexed="81"/>
            <rFont val="Tahoma"/>
            <family val="2"/>
          </rPr>
          <t xml:space="preserve">This is the minimum "effective" output capacitance based on 1% ripple at Vin(min), max load (near current limit).
</t>
        </r>
        <r>
          <rPr>
            <sz val="9"/>
            <color indexed="39"/>
            <rFont val="Tahoma"/>
            <family val="2"/>
          </rPr>
          <t xml:space="preserve">
</t>
        </r>
        <r>
          <rPr>
            <b/>
            <sz val="9"/>
            <color indexed="39"/>
            <rFont val="Tahoma"/>
            <family val="2"/>
          </rPr>
          <t>NB: this condition is derived at VIN(min).</t>
        </r>
        <r>
          <rPr>
            <b/>
            <sz val="9"/>
            <color indexed="81"/>
            <rFont val="Tahoma"/>
            <family val="2"/>
          </rPr>
          <t xml:space="preserve">
</t>
        </r>
      </text>
    </comment>
    <comment ref="F21" authorId="0">
      <text>
        <r>
          <rPr>
            <b/>
            <u/>
            <sz val="9"/>
            <color indexed="81"/>
            <rFont val="Tahoma"/>
            <family val="2"/>
          </rPr>
          <t>Output Capacitance</t>
        </r>
        <r>
          <rPr>
            <b/>
            <sz val="9"/>
            <color indexed="81"/>
            <rFont val="Tahoma"/>
            <family val="2"/>
          </rPr>
          <t>:</t>
        </r>
        <r>
          <rPr>
            <sz val="9"/>
            <color indexed="81"/>
            <rFont val="Tahoma"/>
            <family val="2"/>
          </rPr>
          <t xml:space="preserve">
Enter the output capacitance here based on the minimum calculated result. Make sure that the nominal capacitance is appropriately derated for applied voltage, particularly with </t>
        </r>
        <r>
          <rPr>
            <sz val="9"/>
            <color indexed="39"/>
            <rFont val="Tahoma"/>
            <family val="2"/>
          </rPr>
          <t>ceramics</t>
        </r>
        <r>
          <rPr>
            <sz val="9"/>
            <color indexed="81"/>
            <rFont val="Tahoma"/>
            <family val="2"/>
          </rPr>
          <t xml:space="preserve">.
</t>
        </r>
        <r>
          <rPr>
            <b/>
            <sz val="9"/>
            <color indexed="81"/>
            <rFont val="Tahoma"/>
            <family val="2"/>
          </rPr>
          <t>The text in this cell is flagged red if:</t>
        </r>
        <r>
          <rPr>
            <sz val="9"/>
            <color indexed="81"/>
            <rFont val="Tahoma"/>
            <family val="2"/>
          </rPr>
          <t xml:space="preserve">
</t>
        </r>
        <r>
          <rPr>
            <b/>
            <sz val="9"/>
            <color indexed="10"/>
            <rFont val="Tahoma"/>
            <family val="2"/>
          </rPr>
          <t>-The chosen output capacitor is smaller than the minimum ideal capacitance.</t>
        </r>
      </text>
    </comment>
    <comment ref="F22" authorId="0">
      <text>
        <r>
          <rPr>
            <b/>
            <u/>
            <sz val="9"/>
            <color indexed="81"/>
            <rFont val="Tahoma"/>
            <family val="2"/>
          </rPr>
          <t>Output Capacitor ESR</t>
        </r>
        <r>
          <rPr>
            <b/>
            <sz val="9"/>
            <color indexed="81"/>
            <rFont val="Tahoma"/>
            <family val="2"/>
          </rPr>
          <t xml:space="preserve">:
</t>
        </r>
        <r>
          <rPr>
            <sz val="9"/>
            <color indexed="81"/>
            <rFont val="Tahoma"/>
            <family val="2"/>
          </rPr>
          <t>Enter the output capacitor ESR here based on the maximum allowed output capacitor ESR to meet the ripple voltage specification.</t>
        </r>
        <r>
          <rPr>
            <b/>
            <sz val="9"/>
            <color indexed="81"/>
            <rFont val="Tahoma"/>
            <family val="2"/>
          </rPr>
          <t xml:space="preserve">
The text in this cell will be </t>
        </r>
        <r>
          <rPr>
            <b/>
            <sz val="9"/>
            <color indexed="10"/>
            <rFont val="Tahoma"/>
            <family val="2"/>
          </rPr>
          <t>red</t>
        </r>
        <r>
          <rPr>
            <b/>
            <sz val="9"/>
            <color indexed="81"/>
            <rFont val="Tahoma"/>
            <family val="2"/>
          </rPr>
          <t xml:space="preserve"> if:
</t>
        </r>
        <r>
          <rPr>
            <b/>
            <sz val="9"/>
            <color indexed="10"/>
            <rFont val="Tahoma"/>
            <family val="2"/>
          </rPr>
          <t>-ESR is zero, or
-ESR exceeds maximum allowable ESR to meet the voltage ripple specification.</t>
        </r>
        <r>
          <rPr>
            <sz val="11"/>
            <color indexed="81"/>
            <rFont val="Tahoma"/>
            <family val="2"/>
          </rPr>
          <t xml:space="preserve">
</t>
        </r>
      </text>
    </comment>
    <comment ref="F28" authorId="0">
      <text>
        <r>
          <rPr>
            <b/>
            <u/>
            <sz val="9"/>
            <color indexed="81"/>
            <rFont val="Tahoma"/>
            <family val="2"/>
          </rPr>
          <t>Soft-Start Time</t>
        </r>
        <r>
          <rPr>
            <b/>
            <sz val="9"/>
            <color indexed="81"/>
            <rFont val="Tahoma"/>
            <family val="2"/>
          </rPr>
          <t xml:space="preserve">:
</t>
        </r>
        <r>
          <rPr>
            <sz val="9"/>
            <color indexed="81"/>
            <rFont val="Tahoma"/>
            <family val="2"/>
          </rPr>
          <t xml:space="preserve">Enter the </t>
        </r>
        <r>
          <rPr>
            <b/>
            <sz val="9"/>
            <color indexed="39"/>
            <rFont val="Tahoma"/>
            <family val="2"/>
          </rPr>
          <t>desired soft-start time</t>
        </r>
        <r>
          <rPr>
            <sz val="9"/>
            <color indexed="81"/>
            <rFont val="Tahoma"/>
            <family val="2"/>
          </rPr>
          <t xml:space="preserve"> as required (must be greater than 6ms).
Leave the </t>
        </r>
        <r>
          <rPr>
            <b/>
            <sz val="9"/>
            <color indexed="39"/>
            <rFont val="Tahoma"/>
            <family val="2"/>
          </rPr>
          <t>SS/BIAS pin open circuit</t>
        </r>
        <r>
          <rPr>
            <sz val="9"/>
            <color indexed="81"/>
            <rFont val="Tahoma"/>
            <family val="2"/>
          </rPr>
          <t xml:space="preserve"> to provide a soft-start time of </t>
        </r>
        <r>
          <rPr>
            <b/>
            <sz val="9"/>
            <color indexed="81"/>
            <rFont val="Tahoma"/>
            <family val="2"/>
          </rPr>
          <t>6ms</t>
        </r>
        <r>
          <rPr>
            <sz val="9"/>
            <color indexed="81"/>
            <rFont val="Tahoma"/>
            <family val="2"/>
          </rPr>
          <t>.
Connect an auxiliary bias rail to SS/BIAS to reduce quiescent current and bias power dissipation.</t>
        </r>
        <r>
          <rPr>
            <b/>
            <sz val="9"/>
            <color indexed="81"/>
            <rFont val="Tahoma"/>
            <family val="2"/>
          </rPr>
          <t xml:space="preserve">
The text in the cell below becomes red if:
</t>
        </r>
        <r>
          <rPr>
            <b/>
            <sz val="9"/>
            <color indexed="10"/>
            <rFont val="Tahoma"/>
            <family val="2"/>
          </rPr>
          <t>-The specified programmable soft-start time is less than 6ms.</t>
        </r>
        <r>
          <rPr>
            <sz val="9"/>
            <color indexed="81"/>
            <rFont val="Tahoma"/>
            <family val="2"/>
          </rPr>
          <t xml:space="preserve">
</t>
        </r>
      </text>
    </comment>
    <comment ref="F34" authorId="0">
      <text>
        <r>
          <rPr>
            <b/>
            <u/>
            <sz val="9"/>
            <color indexed="81"/>
            <rFont val="Tahoma"/>
            <family val="2"/>
          </rPr>
          <t>Nominal Input UVLO Turn-On/Off Threshold Levels</t>
        </r>
        <r>
          <rPr>
            <b/>
            <sz val="9"/>
            <color indexed="81"/>
            <rFont val="Tahoma"/>
            <family val="2"/>
          </rPr>
          <t>:</t>
        </r>
        <r>
          <rPr>
            <sz val="9"/>
            <color indexed="81"/>
            <rFont val="Tahoma"/>
            <family val="2"/>
          </rPr>
          <t xml:space="preserve">
Enter the nominal input voltages for UVLO turn-on and turn-off. 
Note that the LM25183/4 input operating voltage range is</t>
        </r>
        <r>
          <rPr>
            <b/>
            <sz val="9"/>
            <color indexed="81"/>
            <rFont val="Tahoma"/>
            <family val="2"/>
          </rPr>
          <t xml:space="preserve"> 4.5V to 42V</t>
        </r>
        <r>
          <rPr>
            <sz val="9"/>
            <color indexed="81"/>
            <rFont val="Tahoma"/>
            <family val="2"/>
          </rPr>
          <t xml:space="preserve">.
</t>
        </r>
        <r>
          <rPr>
            <b/>
            <sz val="9"/>
            <color indexed="81"/>
            <rFont val="Tahoma"/>
            <family val="2"/>
          </rPr>
          <t>The text in the cell below becomes red if:</t>
        </r>
        <r>
          <rPr>
            <sz val="9"/>
            <color indexed="81"/>
            <rFont val="Tahoma"/>
            <family val="2"/>
          </rPr>
          <t xml:space="preserve">
-The input voltage UVLO turn-on is above </t>
        </r>
        <r>
          <rPr>
            <b/>
            <sz val="9"/>
            <color indexed="10"/>
            <rFont val="Tahoma"/>
            <family val="2"/>
          </rPr>
          <t>42V</t>
        </r>
        <r>
          <rPr>
            <sz val="9"/>
            <color indexed="81"/>
            <rFont val="Tahoma"/>
            <family val="2"/>
          </rPr>
          <t xml:space="preserve">
-The input voltage UVLO turn-on/off is below </t>
        </r>
        <r>
          <rPr>
            <b/>
            <sz val="9"/>
            <color indexed="10"/>
            <rFont val="Tahoma"/>
            <family val="2"/>
          </rPr>
          <t xml:space="preserve">4.5V/3.8V
</t>
        </r>
        <r>
          <rPr>
            <b/>
            <sz val="9"/>
            <color indexed="39"/>
            <rFont val="Tahoma"/>
            <family val="2"/>
          </rPr>
          <t>If the internal UVLO is sufficient, connect EN to logic high or VIN.</t>
        </r>
      </text>
    </comment>
    <comment ref="F41" authorId="1">
      <text>
        <r>
          <rPr>
            <b/>
            <u/>
            <sz val="9"/>
            <color indexed="81"/>
            <rFont val="Tahoma"/>
            <family val="2"/>
          </rPr>
          <t>Diode Drop</t>
        </r>
        <r>
          <rPr>
            <b/>
            <sz val="9"/>
            <color indexed="81"/>
            <rFont val="Tahoma"/>
            <family val="2"/>
          </rPr>
          <t>:</t>
        </r>
        <r>
          <rPr>
            <sz val="9"/>
            <color indexed="81"/>
            <rFont val="Tahoma"/>
            <family val="2"/>
          </rPr>
          <t xml:space="preserve">
Enter the voltage drop of the flyback diode at no load, 25°C (used for turns ratio calculations)</t>
        </r>
      </text>
    </comment>
    <comment ref="F42" authorId="1">
      <text>
        <r>
          <rPr>
            <b/>
            <u/>
            <sz val="9"/>
            <color indexed="81"/>
            <rFont val="Tahoma"/>
            <family val="2"/>
          </rPr>
          <t>Diode Drop</t>
        </r>
        <r>
          <rPr>
            <b/>
            <sz val="9"/>
            <color indexed="81"/>
            <rFont val="Tahoma"/>
            <family val="2"/>
          </rPr>
          <t>:</t>
        </r>
        <r>
          <rPr>
            <sz val="9"/>
            <color indexed="81"/>
            <rFont val="Tahoma"/>
            <family val="2"/>
          </rPr>
          <t xml:space="preserve">
Enter the voltage drop of the flyback diode at full load, 25°C (used for power loss calculations)</t>
        </r>
      </text>
    </comment>
    <comment ref="F43" authorId="0">
      <text>
        <r>
          <rPr>
            <b/>
            <u/>
            <sz val="9"/>
            <color indexed="81"/>
            <rFont val="Tahoma"/>
            <family val="2"/>
          </rPr>
          <t>Estimated Thermal Impedance</t>
        </r>
        <r>
          <rPr>
            <b/>
            <sz val="9"/>
            <color indexed="81"/>
            <rFont val="Tahoma"/>
            <family val="2"/>
          </rPr>
          <t xml:space="preserve">:
</t>
        </r>
        <r>
          <rPr>
            <sz val="9"/>
            <color indexed="81"/>
            <rFont val="Tahoma"/>
            <family val="2"/>
          </rPr>
          <t xml:space="preserve">Enter the LM25183/4's junction-to-ambient thermal impedance, which relates to PCB copper weight and area for heatsinking, local ariflow rate, and other factors.
</t>
        </r>
      </text>
    </comment>
    <comment ref="F44" authorId="0">
      <text>
        <r>
          <rPr>
            <b/>
            <u/>
            <sz val="9"/>
            <color indexed="81"/>
            <rFont val="Tahoma"/>
            <family val="2"/>
          </rPr>
          <t>Ambient Operating Temperature</t>
        </r>
        <r>
          <rPr>
            <b/>
            <sz val="9"/>
            <color indexed="81"/>
            <rFont val="Tahoma"/>
            <family val="2"/>
          </rPr>
          <t xml:space="preserve">:
</t>
        </r>
        <r>
          <rPr>
            <sz val="9"/>
            <color indexed="81"/>
            <rFont val="Tahoma"/>
            <family val="2"/>
          </rPr>
          <t>Enter the LM25183/4's local ambient temperature (T</t>
        </r>
        <r>
          <rPr>
            <vertAlign val="subscript"/>
            <sz val="9"/>
            <color indexed="81"/>
            <rFont val="Tahoma"/>
            <family val="2"/>
          </rPr>
          <t>A</t>
        </r>
        <r>
          <rPr>
            <sz val="9"/>
            <color indexed="81"/>
            <rFont val="Tahoma"/>
            <family val="2"/>
          </rPr>
          <t xml:space="preserve">) here.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chosen ambient temperature is below -40°C or above 150°C.</t>
        </r>
      </text>
    </comment>
    <comment ref="F46" authorId="0">
      <text>
        <r>
          <rPr>
            <b/>
            <u/>
            <sz val="9"/>
            <color indexed="81"/>
            <rFont val="Tahoma"/>
            <family val="2"/>
          </rPr>
          <t>Operating Junction Temperature</t>
        </r>
        <r>
          <rPr>
            <b/>
            <sz val="9"/>
            <color indexed="81"/>
            <rFont val="Tahoma"/>
            <family val="2"/>
          </rPr>
          <t xml:space="preserve">:
</t>
        </r>
        <r>
          <rPr>
            <sz val="9"/>
            <color indexed="81"/>
            <rFont val="Tahoma"/>
            <family val="2"/>
          </rPr>
          <t>Here is an estimate of the LM25183/4's opertaing junction temperature (T</t>
        </r>
        <r>
          <rPr>
            <vertAlign val="subscript"/>
            <sz val="9"/>
            <color indexed="81"/>
            <rFont val="Tahoma"/>
            <family val="2"/>
          </rPr>
          <t>J</t>
        </r>
        <r>
          <rPr>
            <sz val="9"/>
            <color indexed="81"/>
            <rFont val="Tahoma"/>
            <family val="2"/>
          </rPr>
          <t xml:space="preserve">) at full load and nominal input voltage.
</t>
        </r>
        <r>
          <rPr>
            <b/>
            <sz val="9"/>
            <color indexed="81"/>
            <rFont val="Tahoma"/>
            <family val="2"/>
          </rPr>
          <t xml:space="preserve">The text in this cell is flagged </t>
        </r>
        <r>
          <rPr>
            <b/>
            <sz val="9"/>
            <color indexed="10"/>
            <rFont val="Tahoma"/>
            <family val="2"/>
          </rPr>
          <t>red</t>
        </r>
        <r>
          <rPr>
            <b/>
            <sz val="9"/>
            <color indexed="81"/>
            <rFont val="Tahoma"/>
            <family val="2"/>
          </rPr>
          <t xml:space="preserve"> if:
</t>
        </r>
        <r>
          <rPr>
            <b/>
            <sz val="9"/>
            <color indexed="10"/>
            <rFont val="Tahoma"/>
            <family val="2"/>
          </rPr>
          <t>-The calculated junction temperature is below -40°C or above 150°C.</t>
        </r>
      </text>
    </comment>
  </commentList>
</comments>
</file>

<file path=xl/comments2.xml><?xml version="1.0" encoding="utf-8"?>
<comments xmlns="http://schemas.openxmlformats.org/spreadsheetml/2006/main">
  <authors>
    <author>Timothy Hegarty</author>
  </authors>
  <commentList>
    <comment ref="A1" authorId="0">
      <text>
        <r>
          <rPr>
            <sz val="11"/>
            <color indexed="81"/>
            <rFont val="Tahoma"/>
            <family val="2"/>
          </rPr>
          <t>This efficiency calculator is aimed towards low current, COT-type architectures. Specifically, the "On Time" is programmed by the timing resistor, Rt. Meanwhile, the "Off Time" is determined by zero crossing of the inductor current crosses (in DCM) or when FB touches VREF (in CCM). In the DCM configuration, it is assumed that the effective switching frequency is proportional to output current.</t>
        </r>
      </text>
    </comment>
    <comment ref="G2" authorId="0">
      <text>
        <r>
          <rPr>
            <b/>
            <u/>
            <sz val="11"/>
            <color indexed="10"/>
            <rFont val="Tahoma"/>
            <family val="2"/>
          </rPr>
          <t>Texas Instruments</t>
        </r>
        <r>
          <rPr>
            <sz val="11"/>
            <color indexed="10"/>
            <rFont val="Tahoma"/>
            <family val="2"/>
          </rPr>
          <t>:</t>
        </r>
        <r>
          <rPr>
            <sz val="9"/>
            <color indexed="81"/>
            <rFont val="Tahoma"/>
            <family val="2"/>
          </rPr>
          <t xml:space="preserve">
</t>
        </r>
        <r>
          <rPr>
            <b/>
            <sz val="9"/>
            <color indexed="81"/>
            <rFont val="Tahoma"/>
            <family val="2"/>
          </rPr>
          <t>Limited Use Policy</t>
        </r>
        <r>
          <rPr>
            <sz val="9"/>
            <color indexed="81"/>
            <rFont val="Tahoma"/>
            <family val="2"/>
          </rPr>
          <t xml:space="preserve">
You must treat this software and documentation like any other copyrighted material.
</t>
        </r>
        <r>
          <rPr>
            <b/>
            <sz val="9"/>
            <color indexed="81"/>
            <rFont val="Tahoma"/>
            <family val="2"/>
          </rPr>
          <t>You may not:</t>
        </r>
        <r>
          <rPr>
            <sz val="9"/>
            <color indexed="81"/>
            <rFont val="Tahoma"/>
            <family val="2"/>
          </rPr>
          <t xml:space="preserve">
- Copy documentation of the software
- Copy this software except to make archival or backup copies
- Reverse engineer, disassemble, decompile or make any attempt to discover the source code of the Software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LM5165 product datasheet and EVM user guides for more details.
</t>
        </r>
        <r>
          <rPr>
            <b/>
            <sz val="9"/>
            <color indexed="81"/>
            <rFont val="Tahoma"/>
            <family val="2"/>
          </rPr>
          <t>Rev. 1, Timothy Hegarty, Texas Instruments, Inc.</t>
        </r>
      </text>
    </comment>
  </commentList>
</comments>
</file>

<file path=xl/sharedStrings.xml><?xml version="1.0" encoding="utf-8"?>
<sst xmlns="http://schemas.openxmlformats.org/spreadsheetml/2006/main" count="1316" uniqueCount="724">
  <si>
    <t>V</t>
  </si>
  <si>
    <t>A</t>
  </si>
  <si>
    <t>kHz</t>
  </si>
  <si>
    <t>Vin</t>
  </si>
  <si>
    <t>Vout</t>
  </si>
  <si>
    <t>Iout</t>
  </si>
  <si>
    <t>Value</t>
  </si>
  <si>
    <t>STD Units</t>
  </si>
  <si>
    <t>Hz</t>
  </si>
  <si>
    <t>Notes</t>
  </si>
  <si>
    <t>Nominal input voltage</t>
  </si>
  <si>
    <t>H</t>
  </si>
  <si>
    <t>Coutmin</t>
  </si>
  <si>
    <t>F</t>
  </si>
  <si>
    <t>Cout</t>
  </si>
  <si>
    <t>pF</t>
  </si>
  <si>
    <t>Pi</t>
  </si>
  <si>
    <t>Rfb2</t>
  </si>
  <si>
    <t>Vref</t>
  </si>
  <si>
    <t>Variable Name</t>
  </si>
  <si>
    <t>mΩ</t>
  </si>
  <si>
    <t>kΩ</t>
  </si>
  <si>
    <t>TERMS OF USE</t>
  </si>
  <si>
    <t>Currents</t>
  </si>
  <si>
    <t>IQ</t>
  </si>
  <si>
    <t>Step</t>
  </si>
  <si>
    <t>Design</t>
  </si>
  <si>
    <t>L</t>
  </si>
  <si>
    <t>Cin</t>
  </si>
  <si>
    <t>Components</t>
  </si>
  <si>
    <t>mA</t>
  </si>
  <si>
    <t>nC</t>
  </si>
  <si>
    <t>ns</t>
  </si>
  <si>
    <t>Units</t>
  </si>
  <si>
    <t>Outputs</t>
  </si>
  <si>
    <t>LTc</t>
  </si>
  <si>
    <t>Ta</t>
  </si>
  <si>
    <t>RCinEsr</t>
  </si>
  <si>
    <t>Tr</t>
  </si>
  <si>
    <t>Tf</t>
  </si>
  <si>
    <t>Ambient Temperature</t>
  </si>
  <si>
    <t>Description</t>
  </si>
  <si>
    <t>Input Parameters</t>
  </si>
  <si>
    <t>Input Value</t>
  </si>
  <si>
    <t>Power Dis</t>
  </si>
  <si>
    <t>W</t>
  </si>
  <si>
    <t>Temp rise</t>
  </si>
  <si>
    <t>Efficiency</t>
  </si>
  <si>
    <t>Duty Cycle</t>
  </si>
  <si>
    <t xml:space="preserve">IQ </t>
  </si>
  <si>
    <t>Quiescent Current Of Controller (Not Switching!)</t>
  </si>
  <si>
    <t>s</t>
  </si>
  <si>
    <t>Part Characteristics</t>
  </si>
  <si>
    <t>Rfb2_u</t>
  </si>
  <si>
    <t>CoutEsr</t>
  </si>
  <si>
    <t>Step 5: Input Capacitor</t>
  </si>
  <si>
    <t>nF</t>
  </si>
  <si>
    <t>VIN</t>
  </si>
  <si>
    <t>Icinrms</t>
  </si>
  <si>
    <t>= Input Box</t>
  </si>
  <si>
    <t>Input capacitance</t>
  </si>
  <si>
    <t>Step 1: Operational Specs</t>
  </si>
  <si>
    <t>Step 6: Soft Start</t>
  </si>
  <si>
    <t>ms</t>
  </si>
  <si>
    <t>Tss</t>
  </si>
  <si>
    <t>Iss</t>
  </si>
  <si>
    <t>Css</t>
  </si>
  <si>
    <t>Part Number</t>
  </si>
  <si>
    <t>Capacitors</t>
  </si>
  <si>
    <t>(pF)</t>
  </si>
  <si>
    <t>Standard Result</t>
  </si>
  <si>
    <t>Inputs</t>
  </si>
  <si>
    <t>Css_u</t>
  </si>
  <si>
    <t>Resistors</t>
  </si>
  <si>
    <t>inputs</t>
  </si>
  <si>
    <t>Cb</t>
  </si>
  <si>
    <t>Rs</t>
  </si>
  <si>
    <t xml:space="preserve">                </t>
  </si>
  <si>
    <t xml:space="preserve"> </t>
  </si>
  <si>
    <t>Rc1ea</t>
  </si>
  <si>
    <t>Blank out</t>
  </si>
  <si>
    <t>Input from user =</t>
  </si>
  <si>
    <t>Constant</t>
  </si>
  <si>
    <t>Step 8: Efficiency</t>
  </si>
  <si>
    <t>°C/W</t>
  </si>
  <si>
    <t>SCHEMATIC LABELS</t>
  </si>
  <si>
    <t>OUTPUT CURRENT</t>
  </si>
  <si>
    <t>Current (switching)</t>
  </si>
  <si>
    <t>Qrr Current</t>
  </si>
  <si>
    <t>Diode Current</t>
  </si>
  <si>
    <t>Std Units</t>
  </si>
  <si>
    <t>Total Application Switching IQ</t>
  </si>
  <si>
    <t>GND</t>
  </si>
  <si>
    <t>FB</t>
  </si>
  <si>
    <t>SW</t>
  </si>
  <si>
    <t>CIN</t>
  </si>
  <si>
    <t>µH</t>
  </si>
  <si>
    <t>µF</t>
  </si>
  <si>
    <t>Cinmin</t>
  </si>
  <si>
    <t>CinEsrMax</t>
  </si>
  <si>
    <t>Output =</t>
  </si>
  <si>
    <t>Step 1: Operating Specifications</t>
  </si>
  <si>
    <t>°C</t>
  </si>
  <si>
    <r>
      <t>mV</t>
    </r>
    <r>
      <rPr>
        <vertAlign val="subscript"/>
        <sz val="10"/>
        <rFont val="Arial"/>
        <family val="2"/>
      </rPr>
      <t>pk-pk</t>
    </r>
  </si>
  <si>
    <t xml:space="preserve">Input Capacitor ESR </t>
  </si>
  <si>
    <t>About</t>
  </si>
  <si>
    <t>xx</t>
  </si>
  <si>
    <t>Max ESR before ripple exceeds Vripple1</t>
  </si>
  <si>
    <t>Chosen ESR</t>
  </si>
  <si>
    <t>Input capacitance series resistance (ESR)</t>
  </si>
  <si>
    <r>
      <t>VIN</t>
    </r>
    <r>
      <rPr>
        <vertAlign val="subscript"/>
        <sz val="10"/>
        <rFont val="Arial"/>
        <family val="2"/>
      </rPr>
      <t>UVLO_ON</t>
    </r>
  </si>
  <si>
    <t>Rising UVLO/EN Threshold</t>
  </si>
  <si>
    <t>Falling UVLO/EN Threshold</t>
  </si>
  <si>
    <t>kΩ</t>
  </si>
  <si>
    <r>
      <t>VIN</t>
    </r>
    <r>
      <rPr>
        <vertAlign val="subscript"/>
        <sz val="10"/>
        <rFont val="Arial"/>
        <family val="2"/>
      </rPr>
      <t>UVLO_ON_ACTUAL</t>
    </r>
  </si>
  <si>
    <r>
      <t>VIN</t>
    </r>
    <r>
      <rPr>
        <vertAlign val="subscript"/>
        <sz val="10"/>
        <rFont val="Arial"/>
        <family val="2"/>
      </rPr>
      <t>UVLO_OFF_ACTUAL</t>
    </r>
  </si>
  <si>
    <t>Size</t>
  </si>
  <si>
    <t>MFR</t>
  </si>
  <si>
    <t>Std</t>
  </si>
  <si>
    <t>0603</t>
  </si>
  <si>
    <r>
      <t>C</t>
    </r>
    <r>
      <rPr>
        <vertAlign val="subscript"/>
        <sz val="10"/>
        <rFont val="Arial"/>
        <family val="2"/>
      </rPr>
      <t>IN</t>
    </r>
  </si>
  <si>
    <r>
      <t>C</t>
    </r>
    <r>
      <rPr>
        <vertAlign val="subscript"/>
        <sz val="10"/>
        <rFont val="Arial"/>
        <family val="2"/>
      </rPr>
      <t>OUT</t>
    </r>
  </si>
  <si>
    <t>Ref Des</t>
  </si>
  <si>
    <t>Count</t>
  </si>
  <si>
    <t>Various</t>
  </si>
  <si>
    <t>-</t>
  </si>
  <si>
    <r>
      <t>R</t>
    </r>
    <r>
      <rPr>
        <vertAlign val="subscript"/>
        <sz val="10"/>
        <rFont val="Arial"/>
        <family val="2"/>
      </rPr>
      <t>UV1</t>
    </r>
  </si>
  <si>
    <r>
      <t>R</t>
    </r>
    <r>
      <rPr>
        <vertAlign val="subscript"/>
        <sz val="10"/>
        <rFont val="Arial"/>
        <family val="2"/>
      </rPr>
      <t>UV2</t>
    </r>
  </si>
  <si>
    <r>
      <t>U</t>
    </r>
    <r>
      <rPr>
        <b/>
        <vertAlign val="subscript"/>
        <sz val="10"/>
        <rFont val="Arial"/>
        <family val="2"/>
      </rPr>
      <t>1</t>
    </r>
  </si>
  <si>
    <t>Rpgood</t>
  </si>
  <si>
    <t>Ruv1</t>
  </si>
  <si>
    <t>Ruv2</t>
  </si>
  <si>
    <t># of input caps</t>
  </si>
  <si>
    <t>Capacitance per component (Cin)</t>
  </si>
  <si>
    <t>Capacitance per component (Cout)</t>
  </si>
  <si>
    <t># of output caps</t>
  </si>
  <si>
    <t>Ω</t>
  </si>
  <si>
    <r>
      <rPr>
        <b/>
        <u/>
        <sz val="10"/>
        <rFont val="Arial"/>
        <family val="2"/>
      </rPr>
      <t>NOTES</t>
    </r>
    <r>
      <rPr>
        <b/>
        <sz val="10"/>
        <rFont val="Arial"/>
        <family val="2"/>
      </rPr>
      <t>:</t>
    </r>
  </si>
  <si>
    <t>%/°C</t>
  </si>
  <si>
    <t>Rt</t>
  </si>
  <si>
    <r>
      <t>Output Capacitance, C</t>
    </r>
    <r>
      <rPr>
        <b/>
        <vertAlign val="subscript"/>
        <sz val="10"/>
        <rFont val="Arial"/>
        <family val="2"/>
      </rPr>
      <t>OUT</t>
    </r>
    <r>
      <rPr>
        <b/>
        <sz val="10"/>
        <rFont val="Arial"/>
        <family val="2"/>
      </rPr>
      <t xml:space="preserve"> </t>
    </r>
  </si>
  <si>
    <r>
      <t>Input Capacitance, C</t>
    </r>
    <r>
      <rPr>
        <b/>
        <vertAlign val="subscript"/>
        <sz val="10"/>
        <color theme="1"/>
        <rFont val="Arial"/>
        <family val="2"/>
      </rPr>
      <t>IN</t>
    </r>
    <r>
      <rPr>
        <b/>
        <sz val="10"/>
        <color theme="1"/>
        <rFont val="Arial"/>
        <family val="2"/>
      </rPr>
      <t xml:space="preserve"> </t>
    </r>
  </si>
  <si>
    <r>
      <t>Soft-Start Capacitance, C</t>
    </r>
    <r>
      <rPr>
        <vertAlign val="subscript"/>
        <sz val="10"/>
        <rFont val="Arial"/>
        <family val="2"/>
      </rPr>
      <t>SS</t>
    </r>
    <r>
      <rPr>
        <sz val="10"/>
        <rFont val="Arial"/>
        <family val="2"/>
      </rPr>
      <t xml:space="preserve"> </t>
    </r>
  </si>
  <si>
    <t>VIN_nom</t>
  </si>
  <si>
    <t>VIN_max</t>
  </si>
  <si>
    <t>VIN_min</t>
  </si>
  <si>
    <t>Minimum input voltage</t>
  </si>
  <si>
    <t>Maximum input voltage</t>
  </si>
  <si>
    <t>Voltage Hysteresis</t>
  </si>
  <si>
    <t>mV</t>
  </si>
  <si>
    <t>Don_Vinmin</t>
  </si>
  <si>
    <t>Don_Vinmax</t>
  </si>
  <si>
    <t>Lf</t>
  </si>
  <si>
    <t>Pout</t>
  </si>
  <si>
    <t>Iin_Vinmin</t>
  </si>
  <si>
    <t>Iin_Vinnom</t>
  </si>
  <si>
    <t>Iin_Vinmax</t>
  </si>
  <si>
    <t>Pin</t>
  </si>
  <si>
    <t>Don_Vinnom</t>
  </si>
  <si>
    <t>Output power</t>
  </si>
  <si>
    <t>Input currents at min, nom, max Vin</t>
  </si>
  <si>
    <t>Cslope_ideal</t>
  </si>
  <si>
    <t>mΩ</t>
  </si>
  <si>
    <t>Rshunt</t>
  </si>
  <si>
    <t>Output Cap RMS current</t>
  </si>
  <si>
    <t>Icoutrms_VINmin</t>
  </si>
  <si>
    <t>Icoutrms_VINnom</t>
  </si>
  <si>
    <t>Icoutrms_VINmax</t>
  </si>
  <si>
    <t>Chosen Output Capacitance</t>
  </si>
  <si>
    <t>Rout</t>
  </si>
  <si>
    <t>Load resistance</t>
  </si>
  <si>
    <t>p</t>
  </si>
  <si>
    <t>EXCEL Variables Names/Calculations</t>
  </si>
  <si>
    <t>IC Power Disipation</t>
  </si>
  <si>
    <t>Iteration</t>
  </si>
  <si>
    <t>Output Ripple Spec (pk-pk)</t>
  </si>
  <si>
    <t>Estimate of efficiency</t>
  </si>
  <si>
    <t>Soft-start time</t>
  </si>
  <si>
    <r>
      <rPr>
        <sz val="10"/>
        <rFont val="Calibri"/>
        <family val="2"/>
      </rPr>
      <t>θ</t>
    </r>
    <r>
      <rPr>
        <vertAlign val="subscript"/>
        <sz val="10"/>
        <rFont val="Arial"/>
        <family val="2"/>
      </rPr>
      <t>CA</t>
    </r>
  </si>
  <si>
    <t>Input Capacitor ESR</t>
  </si>
  <si>
    <t>RESULTS</t>
  </si>
  <si>
    <t>Reported Cinmin</t>
  </si>
  <si>
    <t>Reported Cout ESR max</t>
  </si>
  <si>
    <t>Reported Cin ESR max</t>
  </si>
  <si>
    <t>Full-load efficiency</t>
  </si>
  <si>
    <t>sec</t>
  </si>
  <si>
    <t>Toff_Vinmax</t>
  </si>
  <si>
    <t>Ton_Vinmin</t>
  </si>
  <si>
    <t>VIN range</t>
  </si>
  <si>
    <t>Current Limit</t>
  </si>
  <si>
    <t>Miscellaneous</t>
  </si>
  <si>
    <t>Inductor</t>
  </si>
  <si>
    <t xml:space="preserve">High-side MOSFET Losses </t>
  </si>
  <si>
    <t xml:space="preserve">Low-side MOSFET Losses </t>
  </si>
  <si>
    <t>Diode</t>
  </si>
  <si>
    <t>Iout (A)</t>
  </si>
  <si>
    <t>Ripple Current pk-pk (A)</t>
  </si>
  <si>
    <t>Off Time (sec)</t>
  </si>
  <si>
    <t>Switching Frequency (Hz)</t>
  </si>
  <si>
    <t>Active Mode Duration (sec)</t>
  </si>
  <si>
    <t>Sleep Mode Duration (sec)</t>
  </si>
  <si>
    <t>Irms (A)</t>
  </si>
  <si>
    <t>Inductor DCR Loss @ 25°C (W)</t>
  </si>
  <si>
    <t>Inductor Core Loss  (W)</t>
  </si>
  <si>
    <t>Total Inductor Loss (W)</t>
  </si>
  <si>
    <t>Cout ESR Loss (W)</t>
  </si>
  <si>
    <t>Total Cout Loss (W)</t>
  </si>
  <si>
    <t>Cin ESR Loss (W)</t>
  </si>
  <si>
    <t>Total Cin Loss (W)</t>
  </si>
  <si>
    <t>Rdson HS Loss @ 25°C (W)</t>
  </si>
  <si>
    <t xml:space="preserve">HS Gate Qg Loss (W)     </t>
  </si>
  <si>
    <t>HS Switching  Loss (W)</t>
  </si>
  <si>
    <t>Coss Loss (W)</t>
  </si>
  <si>
    <t>Total HS FET Loss (W)</t>
  </si>
  <si>
    <t>Rdson LS Loss @ 25°C (W)</t>
  </si>
  <si>
    <t>LS Gate Qg Loss (W)</t>
  </si>
  <si>
    <t>Reverse Recovery &amp; Leakage Losses</t>
  </si>
  <si>
    <t>DeadTime Loss @ 25°C (W)</t>
  </si>
  <si>
    <t>Total LS FET Loss (W)</t>
  </si>
  <si>
    <t>Quiescent Loss (W)</t>
  </si>
  <si>
    <t>LDO + Quiescent Loss (W)</t>
  </si>
  <si>
    <t>Total Gate Drive Loss (W)</t>
  </si>
  <si>
    <t>Total Power Loss in IC (W)</t>
  </si>
  <si>
    <t>Total Converter Power Loss (W)</t>
  </si>
  <si>
    <t>Pout (W)</t>
  </si>
  <si>
    <t>EFF (%)</t>
  </si>
  <si>
    <t>High-side MOSFET Rdson %</t>
  </si>
  <si>
    <t>Low-side MOSFET Rdson %</t>
  </si>
  <si>
    <t>Gate Drive (Qg) Loss from Vin %</t>
  </si>
  <si>
    <t>High-side MOSFET Switching Loss %</t>
  </si>
  <si>
    <t>Reverse Recovery &amp; Leakage Loss %</t>
  </si>
  <si>
    <t>Deadtime Loss %</t>
  </si>
  <si>
    <t>Inductor Cu Loss %</t>
  </si>
  <si>
    <t>Inductor Core Loss %</t>
  </si>
  <si>
    <t>Cin Cout ESR %</t>
  </si>
  <si>
    <t>Quiescent Current Loss %</t>
  </si>
  <si>
    <t>Total Loss %</t>
  </si>
  <si>
    <t>Overall Eff</t>
  </si>
  <si>
    <t>Current (mA)</t>
  </si>
  <si>
    <t>Keep for "previous" data series</t>
  </si>
  <si>
    <t>Frequency (kHz)</t>
  </si>
  <si>
    <t>Coss</t>
  </si>
  <si>
    <t>Iout(max)</t>
  </si>
  <si>
    <r>
      <rPr>
        <sz val="10"/>
        <rFont val="Arial"/>
        <family val="2"/>
      </rPr>
      <t>k</t>
    </r>
    <r>
      <rPr>
        <sz val="10"/>
        <rFont val="Symbol"/>
        <family val="1"/>
        <charset val="2"/>
      </rPr>
      <t>W</t>
    </r>
  </si>
  <si>
    <t>Tamb</t>
  </si>
  <si>
    <t>Ambient temperature</t>
  </si>
  <si>
    <t>VDD</t>
  </si>
  <si>
    <t>On-Time</t>
  </si>
  <si>
    <t>µs</t>
  </si>
  <si>
    <t>On Time - fixed</t>
  </si>
  <si>
    <t>Off Time</t>
  </si>
  <si>
    <t>Off Time - depends on Vout, L, Iout, DCR, etc.</t>
  </si>
  <si>
    <r>
      <rPr>
        <sz val="10"/>
        <rFont val="Symbol"/>
        <family val="1"/>
        <charset val="2"/>
      </rPr>
      <t>D</t>
    </r>
    <r>
      <rPr>
        <sz val="10"/>
        <rFont val="Arial"/>
        <family val="2"/>
      </rPr>
      <t>I</t>
    </r>
    <r>
      <rPr>
        <vertAlign val="subscript"/>
        <sz val="10"/>
        <rFont val="Arial"/>
        <family val="2"/>
      </rPr>
      <t>L</t>
    </r>
  </si>
  <si>
    <t>Inductor pk-pk ripple current in CCM</t>
  </si>
  <si>
    <t>CCM Freq</t>
  </si>
  <si>
    <t>Frequency in CCM</t>
  </si>
  <si>
    <t>Switch rise time</t>
  </si>
  <si>
    <t>Switch fall time</t>
  </si>
  <si>
    <t>Filter inductance</t>
  </si>
  <si>
    <r>
      <rPr>
        <sz val="10"/>
        <rFont val="Arial"/>
        <family val="2"/>
      </rPr>
      <t>m</t>
    </r>
    <r>
      <rPr>
        <sz val="10"/>
        <rFont val="Symbol"/>
        <family val="1"/>
        <charset val="2"/>
      </rPr>
      <t>W</t>
    </r>
  </si>
  <si>
    <t>Kcore</t>
  </si>
  <si>
    <t>RCinESR</t>
  </si>
  <si>
    <t>Input capacitor ESR</t>
  </si>
  <si>
    <t>Output capacitance</t>
  </si>
  <si>
    <t>RCoutESR</t>
  </si>
  <si>
    <t>Output capacitor ESR</t>
  </si>
  <si>
    <t>µA</t>
  </si>
  <si>
    <t>FOM</t>
  </si>
  <si>
    <r>
      <t>m</t>
    </r>
    <r>
      <rPr>
        <sz val="10"/>
        <rFont val="Times New Roman"/>
        <family val="1"/>
      </rPr>
      <t>Ω*</t>
    </r>
    <r>
      <rPr>
        <sz val="10"/>
        <rFont val="Arial"/>
        <family val="2"/>
      </rPr>
      <t>nC</t>
    </r>
  </si>
  <si>
    <t>BDserR</t>
  </si>
  <si>
    <t>Series resistance of body diode</t>
  </si>
  <si>
    <t>Reverse recovery charge of body diode at 100mA</t>
  </si>
  <si>
    <t>Reverse recovery time of body diode (not used)</t>
  </si>
  <si>
    <t>μA</t>
  </si>
  <si>
    <t>Leakage current of low-side device</t>
  </si>
  <si>
    <t>Eff (%)</t>
  </si>
  <si>
    <t>Iout (mA)</t>
  </si>
  <si>
    <t>min_I</t>
  </si>
  <si>
    <t>max_I</t>
  </si>
  <si>
    <t>100mA</t>
  </si>
  <si>
    <t>rr</t>
  </si>
  <si>
    <t>1mA</t>
  </si>
  <si>
    <t>Overall Eff %</t>
  </si>
  <si>
    <t>Total Inductor Loss (mW)</t>
  </si>
  <si>
    <t>Total Power Loss in IC (mW)</t>
  </si>
  <si>
    <t>LDO + Quiescent Loss (mW)</t>
  </si>
  <si>
    <t>Vdd</t>
  </si>
  <si>
    <t>MODE</t>
  </si>
  <si>
    <t>MODE_ILIM</t>
  </si>
  <si>
    <t>MODE_SS</t>
  </si>
  <si>
    <t>COT / PFM Overall Eff</t>
  </si>
  <si>
    <t>COT / PFM Total Inductor Loss (mW)</t>
  </si>
  <si>
    <t>COT / PFM LDO + Quiescent Loss (mW)</t>
  </si>
  <si>
    <t>Soft-Start Configuration</t>
  </si>
  <si>
    <t>mW</t>
  </si>
  <si>
    <r>
      <t>Lower UVLO Resistor, R</t>
    </r>
    <r>
      <rPr>
        <vertAlign val="subscript"/>
        <sz val="10"/>
        <rFont val="Arial"/>
        <family val="2"/>
      </rPr>
      <t>UV2</t>
    </r>
  </si>
  <si>
    <r>
      <t>VIN</t>
    </r>
    <r>
      <rPr>
        <vertAlign val="subscript"/>
        <sz val="10"/>
        <rFont val="Arial"/>
        <family val="2"/>
      </rPr>
      <t>UVLO_OFF</t>
    </r>
  </si>
  <si>
    <t>Rhys</t>
  </si>
  <si>
    <t>Soft Start</t>
  </si>
  <si>
    <t>Step 3: Input &amp; Output Capacitors</t>
  </si>
  <si>
    <t>PLOT_TYPE</t>
  </si>
  <si>
    <t>FB resistor ref des shown or not?</t>
  </si>
  <si>
    <t>SHORT_ILIM</t>
  </si>
  <si>
    <t>ILIM pin shorted if 240mA selected</t>
  </si>
  <si>
    <t>ILIM resistor needed (60/120/180mA)</t>
  </si>
  <si>
    <t>Show Rt resistor ref des?</t>
  </si>
  <si>
    <r>
      <t xml:space="preserve">Estimated Thermal Impedance, </t>
    </r>
    <r>
      <rPr>
        <b/>
        <sz val="11"/>
        <rFont val="Symbol"/>
        <family val="1"/>
        <charset val="2"/>
      </rPr>
      <t>J</t>
    </r>
    <r>
      <rPr>
        <b/>
        <vertAlign val="subscript"/>
        <sz val="10"/>
        <rFont val="Arial"/>
        <family val="2"/>
      </rPr>
      <t>JA</t>
    </r>
  </si>
  <si>
    <t>Input UVLO Configuration</t>
  </si>
  <si>
    <t>MODE_UVLO</t>
  </si>
  <si>
    <t>Adjustable UVLO?</t>
  </si>
  <si>
    <t>Soft-start current</t>
  </si>
  <si>
    <t>10% load efficiency</t>
  </si>
  <si>
    <t>Required soft-start cap</t>
  </si>
  <si>
    <t>User selected SS cap</t>
  </si>
  <si>
    <t>100kΩ</t>
  </si>
  <si>
    <t>1% load efficiency</t>
  </si>
  <si>
    <t>linear scale only</t>
  </si>
  <si>
    <t>log scale only</t>
  </si>
  <si>
    <t xml:space="preserve">Minimum Input Capacitance </t>
  </si>
  <si>
    <t>Terms Of Use</t>
  </si>
  <si>
    <r>
      <rPr>
        <b/>
        <sz val="10"/>
        <rFont val="Arial"/>
        <family val="2"/>
      </rPr>
      <t>Iout</t>
    </r>
    <r>
      <rPr>
        <sz val="10"/>
        <rFont val="Arial"/>
        <family val="2"/>
      </rPr>
      <t xml:space="preserve"> Linear Axis</t>
    </r>
  </si>
  <si>
    <r>
      <rPr>
        <b/>
        <sz val="10"/>
        <rFont val="Arial"/>
        <family val="2"/>
      </rPr>
      <t>Iout</t>
    </r>
    <r>
      <rPr>
        <sz val="10"/>
        <rFont val="Arial"/>
        <family val="2"/>
      </rPr>
      <t xml:space="preserve"> Log Axis</t>
    </r>
  </si>
  <si>
    <t>UVLO</t>
  </si>
  <si>
    <t>n</t>
  </si>
  <si>
    <r>
      <t>Pk-to-Pk Ripple Current at V</t>
    </r>
    <r>
      <rPr>
        <vertAlign val="subscript"/>
        <sz val="10"/>
        <rFont val="Arial"/>
        <family val="2"/>
      </rPr>
      <t>IN(nom)</t>
    </r>
    <r>
      <rPr>
        <sz val="10"/>
        <rFont val="Arial"/>
        <family val="2"/>
      </rPr>
      <t xml:space="preserve">, </t>
    </r>
    <r>
      <rPr>
        <sz val="10"/>
        <rFont val="Symbol"/>
        <family val="1"/>
        <charset val="2"/>
      </rPr>
      <t>D</t>
    </r>
    <r>
      <rPr>
        <sz val="10"/>
        <rFont val="Arial"/>
        <family val="2"/>
      </rPr>
      <t>IL</t>
    </r>
  </si>
  <si>
    <t>SW Fall Time (ns)</t>
  </si>
  <si>
    <t>Peak Current (A)</t>
  </si>
  <si>
    <t>Valley Current (A)</t>
  </si>
  <si>
    <t>SW Rise Time (ns)</t>
  </si>
  <si>
    <t>Csw</t>
  </si>
  <si>
    <t>Capacitance (Coss)</t>
  </si>
  <si>
    <t>Operating Quiescent Current (A)</t>
  </si>
  <si>
    <t>6.3V</t>
  </si>
  <si>
    <t>10V</t>
  </si>
  <si>
    <t>16V</t>
  </si>
  <si>
    <t>25V</t>
  </si>
  <si>
    <t>Cout Voltage Rating</t>
  </si>
  <si>
    <t>Vout&lt;=5V</t>
  </si>
  <si>
    <t>Vout&lt;=20V</t>
  </si>
  <si>
    <t>Vout&lt;=8V</t>
  </si>
  <si>
    <t>Vout&lt;=12V</t>
  </si>
  <si>
    <t>50V</t>
  </si>
  <si>
    <t>Vout&gt;20V</t>
  </si>
  <si>
    <t>BOM display</t>
  </si>
  <si>
    <t>COT / PFM Total Power Loss in IC (mW)</t>
  </si>
  <si>
    <t>0402</t>
  </si>
  <si>
    <t>0805</t>
  </si>
  <si>
    <t>1206</t>
  </si>
  <si>
    <t>1210</t>
  </si>
  <si>
    <t>Component Size</t>
  </si>
  <si>
    <t>Footprint (mm)</t>
  </si>
  <si>
    <t>1.0 x 0.5</t>
  </si>
  <si>
    <t>6mm x 6mm</t>
  </si>
  <si>
    <t>7mm x 7mm</t>
  </si>
  <si>
    <t>3.2 x 1.6</t>
  </si>
  <si>
    <t>1.6 x 0.8</t>
  </si>
  <si>
    <t>2.0 x 1.25</t>
  </si>
  <si>
    <t>3.2 x 2.5</t>
  </si>
  <si>
    <t>4.0 x 4.0</t>
  </si>
  <si>
    <r>
      <t>Area (mm</t>
    </r>
    <r>
      <rPr>
        <b/>
        <vertAlign val="superscript"/>
        <sz val="10"/>
        <color theme="0"/>
        <rFont val="Arial"/>
        <family val="2"/>
      </rPr>
      <t>2</t>
    </r>
    <r>
      <rPr>
        <b/>
        <sz val="10"/>
        <color theme="0"/>
        <rFont val="Arial"/>
        <family val="2"/>
      </rPr>
      <t>)</t>
    </r>
  </si>
  <si>
    <t>TI</t>
  </si>
  <si>
    <r>
      <t>in</t>
    </r>
    <r>
      <rPr>
        <b/>
        <vertAlign val="superscript"/>
        <sz val="12"/>
        <color rgb="FFFF0000"/>
        <rFont val="Arial"/>
        <family val="2"/>
      </rPr>
      <t>2</t>
    </r>
  </si>
  <si>
    <t>Total Solution Size (buffered by 25%)</t>
  </si>
  <si>
    <t>** Appropriately derate effective input and output capacitances for applied voltage and temperature, particularly with ceramics **</t>
  </si>
  <si>
    <r>
      <t>mm</t>
    </r>
    <r>
      <rPr>
        <b/>
        <vertAlign val="superscript"/>
        <sz val="12"/>
        <color rgb="FFFF0000"/>
        <rFont val="Arial"/>
        <family val="2"/>
      </rPr>
      <t>2</t>
    </r>
    <r>
      <rPr>
        <b/>
        <sz val="12"/>
        <color rgb="FFFF0000"/>
        <rFont val="Arial"/>
        <family val="2"/>
      </rPr>
      <t xml:space="preserve">  =</t>
    </r>
  </si>
  <si>
    <t>Std Value Lower Feedback Resistance</t>
  </si>
  <si>
    <t>Step 2: Flyback Transformer</t>
  </si>
  <si>
    <t>SINGLE/DUAL OUTPUT</t>
  </si>
  <si>
    <t>SINGLE</t>
  </si>
  <si>
    <t>DUAL</t>
  </si>
  <si>
    <t>YES</t>
  </si>
  <si>
    <t>NO</t>
  </si>
  <si>
    <r>
      <t>Magnetizing Inductance, L</t>
    </r>
    <r>
      <rPr>
        <b/>
        <vertAlign val="subscript"/>
        <sz val="10"/>
        <color theme="1"/>
        <rFont val="Arial"/>
        <family val="2"/>
      </rPr>
      <t>MAG</t>
    </r>
    <r>
      <rPr>
        <b/>
        <sz val="10"/>
        <color theme="1"/>
        <rFont val="Arial"/>
        <family val="2"/>
      </rPr>
      <t xml:space="preserve"> </t>
    </r>
  </si>
  <si>
    <t>Single Output or Dual Outputs</t>
  </si>
  <si>
    <r>
      <t>Input Voltage – Min, V</t>
    </r>
    <r>
      <rPr>
        <b/>
        <vertAlign val="subscript"/>
        <sz val="10"/>
        <color theme="1"/>
        <rFont val="Arial"/>
        <family val="2"/>
      </rPr>
      <t>IN(min)</t>
    </r>
    <r>
      <rPr>
        <b/>
        <sz val="10"/>
        <color theme="1"/>
        <rFont val="Arial"/>
        <family val="2"/>
      </rPr>
      <t xml:space="preserve"> </t>
    </r>
  </si>
  <si>
    <r>
      <t>Input Voltage – Nom, V</t>
    </r>
    <r>
      <rPr>
        <b/>
        <vertAlign val="subscript"/>
        <sz val="10"/>
        <color theme="1"/>
        <rFont val="Arial"/>
        <family val="2"/>
      </rPr>
      <t>IN(nom)</t>
    </r>
  </si>
  <si>
    <r>
      <t>Input Voltage – Max, V</t>
    </r>
    <r>
      <rPr>
        <b/>
        <vertAlign val="subscript"/>
        <sz val="10"/>
        <color theme="1"/>
        <rFont val="Arial"/>
        <family val="2"/>
      </rPr>
      <t>IN(max)</t>
    </r>
  </si>
  <si>
    <r>
      <t>Selected Feedback Resistor, R</t>
    </r>
    <r>
      <rPr>
        <b/>
        <vertAlign val="subscript"/>
        <sz val="10"/>
        <rFont val="Arial"/>
        <family val="2"/>
      </rPr>
      <t>FB</t>
    </r>
  </si>
  <si>
    <t>Recommended Feedback Resistor</t>
  </si>
  <si>
    <t>Current Hysteresis</t>
  </si>
  <si>
    <t>Current after UVLO (rising)</t>
  </si>
  <si>
    <t>Current before UVLO (rising)</t>
  </si>
  <si>
    <r>
      <t>Upper UVLO Resistor, R</t>
    </r>
    <r>
      <rPr>
        <vertAlign val="subscript"/>
        <sz val="10"/>
        <rFont val="Arial"/>
        <family val="2"/>
      </rPr>
      <t>UV1</t>
    </r>
  </si>
  <si>
    <t>12.1 kΩ</t>
  </si>
  <si>
    <t>Show TC resistor ref des?</t>
  </si>
  <si>
    <t>TC YES/NO</t>
  </si>
  <si>
    <t>MODE_TC</t>
  </si>
  <si>
    <t>Rtc</t>
  </si>
  <si>
    <t>RSET resistor</t>
  </si>
  <si>
    <t>SS Cap</t>
  </si>
  <si>
    <t>mV/°C</t>
  </si>
  <si>
    <t>VOUT Thermal Compensation</t>
  </si>
  <si>
    <r>
      <t>Thermal Compensation Resistor, R</t>
    </r>
    <r>
      <rPr>
        <vertAlign val="subscript"/>
        <sz val="10"/>
        <rFont val="Arial"/>
        <family val="2"/>
      </rPr>
      <t>TC</t>
    </r>
  </si>
  <si>
    <t>Step 4: Feedback, Soft-start, TC, UVLO</t>
  </si>
  <si>
    <t>FB resistor</t>
  </si>
  <si>
    <t>Turns Ratio</t>
  </si>
  <si>
    <t>Rdcr_pri</t>
  </si>
  <si>
    <t>Rfb</t>
  </si>
  <si>
    <r>
      <t>Internal P</t>
    </r>
    <r>
      <rPr>
        <vertAlign val="subscript"/>
        <sz val="10"/>
        <rFont val="Arial"/>
        <family val="2"/>
      </rPr>
      <t>DISS</t>
    </r>
    <r>
      <rPr>
        <sz val="10"/>
        <rFont val="Arial"/>
        <family val="2"/>
      </rPr>
      <t xml:space="preserve"> at Full Load</t>
    </r>
  </si>
  <si>
    <t>Turns_Ratio</t>
  </si>
  <si>
    <t>Transformer Turns Ratio</t>
  </si>
  <si>
    <t>Schematic variable defined:</t>
  </si>
  <si>
    <t>Flyback MOSFET</t>
  </si>
  <si>
    <t>Rdson</t>
  </si>
  <si>
    <t>Qg</t>
  </si>
  <si>
    <t>Converter</t>
  </si>
  <si>
    <t>Gate charge of MOSFET @ VDD</t>
  </si>
  <si>
    <t>Drain-source resistance of MOSFET @ VDD, 25°C</t>
  </si>
  <si>
    <t>Flyback Diode</t>
  </si>
  <si>
    <t>Peak switch current</t>
  </si>
  <si>
    <t>Isw_max</t>
  </si>
  <si>
    <t>Qrr_Dfly</t>
  </si>
  <si>
    <t>Trr_Dfly</t>
  </si>
  <si>
    <t>Pout-max (W)</t>
  </si>
  <si>
    <t>Iout-max (A)</t>
  </si>
  <si>
    <t>Pout-max (W) at Vin-nom</t>
  </si>
  <si>
    <t>Iout-max (A) at Vin-nom</t>
  </si>
  <si>
    <t>Vsw-max (V) at Vin-nom</t>
  </si>
  <si>
    <t>Isw_min</t>
  </si>
  <si>
    <t>Min peak switch current</t>
  </si>
  <si>
    <t>Efficiency estimate</t>
  </si>
  <si>
    <t>Fsw_max</t>
  </si>
  <si>
    <t>Max Fsw</t>
  </si>
  <si>
    <t>Vin (V)</t>
  </si>
  <si>
    <t>Vsw-max (V)</t>
  </si>
  <si>
    <t>Isw (A)</t>
  </si>
  <si>
    <t>Ton-BCM (us)</t>
  </si>
  <si>
    <t>Toff-BCM (us)</t>
  </si>
  <si>
    <t>Ipri-min-BCM (A)</t>
  </si>
  <si>
    <t>Vout-Reflected (V)</t>
  </si>
  <si>
    <t>Fsw-BCM (kHz) at Iout-max</t>
  </si>
  <si>
    <t>Fsw-max-BCM (kHz)</t>
  </si>
  <si>
    <t>Voltages</t>
  </si>
  <si>
    <t>Toff-min-BCM (us)</t>
  </si>
  <si>
    <t>Iout-min-BCM (A)</t>
  </si>
  <si>
    <t>Toff-FFB (us)</t>
  </si>
  <si>
    <t xml:space="preserve">Fsw-BCM (kHz) </t>
  </si>
  <si>
    <t>Fsw-FFB (kHz)</t>
  </si>
  <si>
    <t>Iout-max-FFB (A)</t>
  </si>
  <si>
    <t>Fsw_DCM</t>
  </si>
  <si>
    <t>Ipri-DCM (A)</t>
  </si>
  <si>
    <t>Ipri (A)</t>
  </si>
  <si>
    <t>COMP (V)</t>
  </si>
  <si>
    <t>Fsw (kHz)</t>
  </si>
  <si>
    <t>Vout-actual (V)</t>
  </si>
  <si>
    <t>VIN-min</t>
  </si>
  <si>
    <t>VIN-max</t>
  </si>
  <si>
    <t>Vout_ripple</t>
  </si>
  <si>
    <t>Actual Output Ripple</t>
  </si>
  <si>
    <t>Ton at Full Load, Vin-nom</t>
  </si>
  <si>
    <t>Input voltage ripple spec (pk-pk) at Vin(nom) = 5%</t>
  </si>
  <si>
    <t>Input voltage ripple - Vinripple2</t>
  </si>
  <si>
    <t>Input current, full load, Vin(nom)</t>
  </si>
  <si>
    <t>Toff, Vin(nom)</t>
  </si>
  <si>
    <t>mVpk-pk</t>
  </si>
  <si>
    <t>Vpk-pk</t>
  </si>
  <si>
    <t>Peak primary current, full load, Vin(nom)</t>
  </si>
  <si>
    <t>Vinripple2</t>
  </si>
  <si>
    <t>Nps</t>
  </si>
  <si>
    <t>Rdcr_sec</t>
  </si>
  <si>
    <t>Rdcr_sec2</t>
  </si>
  <si>
    <t>Primary winding DCR</t>
  </si>
  <si>
    <t>Secondary winding DCR</t>
  </si>
  <si>
    <t>Chosen mag inductance</t>
  </si>
  <si>
    <t>Transformer Size</t>
  </si>
  <si>
    <t>1% Vout ripple spec</t>
  </si>
  <si>
    <t>Calculate input power assuming initial efficiency estimate</t>
  </si>
  <si>
    <t>Ipri-rms (A)</t>
  </si>
  <si>
    <t>Isec-rms (A)</t>
  </si>
  <si>
    <t>PCu-pri (W)</t>
  </si>
  <si>
    <t>PCu-sec (W)</t>
  </si>
  <si>
    <t>On/Off Times and Eff Duty Cycle</t>
  </si>
  <si>
    <t>Ton (µs)</t>
  </si>
  <si>
    <t>Toff (µs)</t>
  </si>
  <si>
    <t>Toff-FFB (µs)</t>
  </si>
  <si>
    <t>Toff-min-BCM (µs)</t>
  </si>
  <si>
    <t>Toff-BCM (µs)</t>
  </si>
  <si>
    <t>Ton-BCM (µs)</t>
  </si>
  <si>
    <t>Tsw (µs)</t>
  </si>
  <si>
    <t>Core Loss (W)</t>
  </si>
  <si>
    <t>P-FET-Coss (W)</t>
  </si>
  <si>
    <t>Cin / Cout</t>
  </si>
  <si>
    <t>RMS Currents</t>
  </si>
  <si>
    <t>Effective SW node capacitance (Ctr + Cdiode_refl)</t>
  </si>
  <si>
    <t>P-FET-Qg (W)</t>
  </si>
  <si>
    <t>P-FET-Cond (W)</t>
  </si>
  <si>
    <t>P-FET-Sw (W)</t>
  </si>
  <si>
    <t>P-Diode-Cond (W)</t>
  </si>
  <si>
    <t>P-Diode-Leak (W)</t>
  </si>
  <si>
    <r>
      <t>P-I</t>
    </r>
    <r>
      <rPr>
        <b/>
        <vertAlign val="subscript"/>
        <sz val="10"/>
        <rFont val="Arial"/>
        <family val="2"/>
      </rPr>
      <t>Q</t>
    </r>
    <r>
      <rPr>
        <b/>
        <sz val="10"/>
        <rFont val="Arial"/>
        <family val="2"/>
      </rPr>
      <t xml:space="preserve"> (W)</t>
    </r>
  </si>
  <si>
    <t>Core loss constant - consult transformer vendor</t>
  </si>
  <si>
    <t>Transformer primary winding DCR at 25°C</t>
  </si>
  <si>
    <t>LM5180 quiescent current</t>
  </si>
  <si>
    <t>Cout (µF) for 1% ripple</t>
  </si>
  <si>
    <t>P-Loss-Total (W)</t>
  </si>
  <si>
    <t>P-Diode-Snubber (W)</t>
  </si>
  <si>
    <t>P-LeakL-Clamp/Snub (W)</t>
  </si>
  <si>
    <t>Efficiency (%)</t>
  </si>
  <si>
    <t>P-Trans-Total (W)</t>
  </si>
  <si>
    <t>P-Diode-Total (W)</t>
  </si>
  <si>
    <t>I_LEAK</t>
  </si>
  <si>
    <t>Flyback Diode Loss</t>
  </si>
  <si>
    <t>Transformer Loss</t>
  </si>
  <si>
    <t>P-IC-Total (mW)</t>
  </si>
  <si>
    <t>Half-load efficiency</t>
  </si>
  <si>
    <t>IC Loss</t>
  </si>
  <si>
    <t>Nps1</t>
  </si>
  <si>
    <t>Nps2</t>
  </si>
  <si>
    <t>Step 5: Power Losses &amp; Thermals</t>
  </si>
  <si>
    <t xml:space="preserve">Resulting Input Voltage Ripple </t>
  </si>
  <si>
    <t>Check Iout-max</t>
  </si>
  <si>
    <t>Iout2</t>
  </si>
  <si>
    <t>Rout2</t>
  </si>
  <si>
    <t>Pout2</t>
  </si>
  <si>
    <t>Load resistance #2</t>
  </si>
  <si>
    <t>Output power #2</t>
  </si>
  <si>
    <t xml:space="preserve">Total Output Power </t>
  </si>
  <si>
    <t>Total power</t>
  </si>
  <si>
    <r>
      <t>Ambient Temperature, T</t>
    </r>
    <r>
      <rPr>
        <b/>
        <vertAlign val="subscript"/>
        <sz val="10"/>
        <rFont val="Arial"/>
        <family val="2"/>
      </rPr>
      <t>A</t>
    </r>
  </si>
  <si>
    <t>BIPOLAR</t>
  </si>
  <si>
    <t>Vinripple1 - Input ripple spec</t>
  </si>
  <si>
    <t>OUTPUT CURRENT #2 - BIPOLAR</t>
  </si>
  <si>
    <t>OUTPUT CURRENT #2 - DUAL</t>
  </si>
  <si>
    <t>Output Cap(s)</t>
  </si>
  <si>
    <t>Input Cap(s)</t>
  </si>
  <si>
    <t>Diode Ref Des</t>
  </si>
  <si>
    <r>
      <t>D</t>
    </r>
    <r>
      <rPr>
        <vertAlign val="subscript"/>
        <sz val="10"/>
        <rFont val="Arial"/>
        <family val="2"/>
      </rPr>
      <t>FLY1</t>
    </r>
  </si>
  <si>
    <t>Cin (µF) for 5% ripple</t>
  </si>
  <si>
    <t>Calculations are performed at Vin(nom), Vin(min) and Vin(max) below</t>
  </si>
  <si>
    <r>
      <t>R</t>
    </r>
    <r>
      <rPr>
        <vertAlign val="subscript"/>
        <sz val="10"/>
        <rFont val="Arial"/>
        <family val="2"/>
      </rPr>
      <t>TC</t>
    </r>
  </si>
  <si>
    <t>Feedback Resistance - chosen by user</t>
  </si>
  <si>
    <t>Step 8: FB and TC Resistors</t>
  </si>
  <si>
    <t>Selected Rfb</t>
  </si>
  <si>
    <t>Feedback Resistance - recommneded to user</t>
  </si>
  <si>
    <t>Diode TC</t>
  </si>
  <si>
    <t>Standard Value RTC</t>
  </si>
  <si>
    <t>WSON-8</t>
  </si>
  <si>
    <r>
      <t>Low I</t>
    </r>
    <r>
      <rPr>
        <b/>
        <vertAlign val="subscript"/>
        <sz val="16"/>
        <rFont val="Arial"/>
        <family val="2"/>
      </rPr>
      <t>Q</t>
    </r>
    <r>
      <rPr>
        <b/>
        <sz val="16"/>
        <rFont val="Arial"/>
        <family val="2"/>
      </rPr>
      <t>, High Efficiency, PSR Flyback Converter BOM</t>
    </r>
  </si>
  <si>
    <r>
      <t>T</t>
    </r>
    <r>
      <rPr>
        <vertAlign val="subscript"/>
        <sz val="10"/>
        <rFont val="Arial"/>
        <family val="2"/>
      </rPr>
      <t>1</t>
    </r>
  </si>
  <si>
    <r>
      <t>R</t>
    </r>
    <r>
      <rPr>
        <vertAlign val="subscript"/>
        <sz val="10"/>
        <rFont val="Arial"/>
        <family val="2"/>
      </rPr>
      <t>FB</t>
    </r>
  </si>
  <si>
    <t>Primary Winding DCR</t>
  </si>
  <si>
    <t>FUNCTIONAL</t>
  </si>
  <si>
    <t>BASIC</t>
  </si>
  <si>
    <t>REINFORCED</t>
  </si>
  <si>
    <t>Isolation Grade</t>
  </si>
  <si>
    <t>Output #1</t>
  </si>
  <si>
    <t>Output #2</t>
  </si>
  <si>
    <t>12.1kΩ</t>
  </si>
  <si>
    <r>
      <t>Output Capacitance, C</t>
    </r>
    <r>
      <rPr>
        <b/>
        <vertAlign val="subscript"/>
        <sz val="10"/>
        <rFont val="Arial"/>
        <family val="2"/>
      </rPr>
      <t>OUT2</t>
    </r>
    <r>
      <rPr>
        <b/>
        <sz val="10"/>
        <rFont val="Arial"/>
        <family val="2"/>
      </rPr>
      <t xml:space="preserve"> </t>
    </r>
  </si>
  <si>
    <t>Output Capacitor ESR</t>
  </si>
  <si>
    <t>Adjustable</t>
  </si>
  <si>
    <t>Internal</t>
  </si>
  <si>
    <t>Primary winding DCR at hot</t>
  </si>
  <si>
    <t>Secondary winding DCR at hot</t>
  </si>
  <si>
    <t>Secondary winding #2 DCR at hot</t>
  </si>
  <si>
    <t>Temp - Hot</t>
  </si>
  <si>
    <t>Secondary winding #2 DCR</t>
  </si>
  <si>
    <t>Output Ripple Spec (pk-pk) #2</t>
  </si>
  <si>
    <t>Cout2</t>
  </si>
  <si>
    <t>Coutmin2</t>
  </si>
  <si>
    <t>Reported Cout ESR max #2</t>
  </si>
  <si>
    <t>CoutEsr2</t>
  </si>
  <si>
    <t>1% Vout2 ripple spec</t>
  </si>
  <si>
    <t>Vout_ripple2</t>
  </si>
  <si>
    <t>Check min Ton and Toff times</t>
  </si>
  <si>
    <t>Transformer DCR Temp Co</t>
  </si>
  <si>
    <t>Transformer Core-to-Ambient Thermal Resistance</t>
  </si>
  <si>
    <r>
      <t>D</t>
    </r>
    <r>
      <rPr>
        <vertAlign val="subscript"/>
        <sz val="10"/>
        <rFont val="Arial"/>
        <family val="2"/>
      </rPr>
      <t>FLY2</t>
    </r>
    <r>
      <rPr>
        <sz val="11"/>
        <color theme="1"/>
        <rFont val="Arial"/>
        <family val="2"/>
      </rPr>
      <t/>
    </r>
  </si>
  <si>
    <t>EN/UVLO</t>
  </si>
  <si>
    <t>SS/BIAS</t>
  </si>
  <si>
    <t>TC</t>
  </si>
  <si>
    <t>RSET</t>
  </si>
  <si>
    <t>Step 7: UVLO Resistors</t>
  </si>
  <si>
    <t>Step 2: Circuit Configuration for Single/Dual Output, Int/Adj UVLO, Int/Adj SS, Yes/No TC</t>
  </si>
  <si>
    <t>Step 3: Flyback Transformer</t>
  </si>
  <si>
    <t>Step 3: Output Capacitor(s)</t>
  </si>
  <si>
    <t>DUAL OUTPUT</t>
  </si>
  <si>
    <t>check Ton for dual output…</t>
  </si>
  <si>
    <t>check Vripple variable name…</t>
  </si>
  <si>
    <t>Output voltage</t>
  </si>
  <si>
    <t>Maximum output current #2</t>
  </si>
  <si>
    <t>Output voltage #2</t>
  </si>
  <si>
    <t>DCM switching frequency</t>
  </si>
  <si>
    <t>Reference voltage</t>
  </si>
  <si>
    <t>Feedback resistor</t>
  </si>
  <si>
    <t>Power dissipation</t>
  </si>
  <si>
    <t>check…</t>
  </si>
  <si>
    <t>Turns_Ratio2</t>
  </si>
  <si>
    <t>Single Output or Dual 1st Output</t>
  </si>
  <si>
    <t>SEC1 to SEC2</t>
  </si>
  <si>
    <t>Nsec1sec2</t>
  </si>
  <si>
    <t>Scale</t>
  </si>
  <si>
    <t>PRI : SEC1 : SEC2</t>
  </si>
  <si>
    <t>Turns Ratio, PRI : SEC2</t>
  </si>
  <si>
    <t>TR primary-secondary2 (dual output) = Np/Nsec2</t>
  </si>
  <si>
    <t>TR sec1-sec2 (dual output) = Nsec1/Nsec2</t>
  </si>
  <si>
    <t>Iout2 (A)</t>
  </si>
  <si>
    <t>Iout1 (A)</t>
  </si>
  <si>
    <t>Pout1 (W)</t>
  </si>
  <si>
    <t>Pout2 (W)</t>
  </si>
  <si>
    <t>Iout1-max (A)</t>
  </si>
  <si>
    <t>Iout2-max (A)</t>
  </si>
  <si>
    <t>Vout1-actual (V)</t>
  </si>
  <si>
    <t>Vout1-Reflected (V)</t>
  </si>
  <si>
    <t>Iout1-min-BCM (A)</t>
  </si>
  <si>
    <t>Iout1-max-FFB (A)</t>
  </si>
  <si>
    <t>Turns Ratio, SEC1 : SEC2</t>
  </si>
  <si>
    <t>Pout1-max (W)</t>
  </si>
  <si>
    <t>Cout1 (µF) for 1% ripple</t>
  </si>
  <si>
    <t>Cout2 (µF) for 1% ripple</t>
  </si>
  <si>
    <t>Min 1uF</t>
  </si>
  <si>
    <t>Vripple1_spec</t>
  </si>
  <si>
    <t>Vripple2_actual</t>
  </si>
  <si>
    <t>Vripple1_actual</t>
  </si>
  <si>
    <t>Vripple2_spec</t>
  </si>
  <si>
    <t>Isec2-rms (A)</t>
  </si>
  <si>
    <t>Isec1-rms (A)</t>
  </si>
  <si>
    <t>P-Diode2-Cond (W)</t>
  </si>
  <si>
    <t>P-Diode1-Cond (W)</t>
  </si>
  <si>
    <t>PCu-sec2 (W)</t>
  </si>
  <si>
    <t>PCu-sec1 (W)</t>
  </si>
  <si>
    <t>Iout1 (%)</t>
  </si>
  <si>
    <t>Pout2-max (W)</t>
  </si>
  <si>
    <t>Max Pout at Vin-min</t>
  </si>
  <si>
    <t>Vout2 - absolute value</t>
  </si>
  <si>
    <t>Vout2 - with polarity</t>
  </si>
  <si>
    <t xml:space="preserve">Diode reverse voltage </t>
  </si>
  <si>
    <t>8mm x 8mm</t>
  </si>
  <si>
    <t>9mm x 9mm</t>
  </si>
  <si>
    <t>10mm x 10mm</t>
  </si>
  <si>
    <t>10mm x 12mm</t>
  </si>
  <si>
    <t>11mm x 13mm</t>
  </si>
  <si>
    <t>10 x 12</t>
  </si>
  <si>
    <t>10 x 10</t>
  </si>
  <si>
    <t>9 x 9</t>
  </si>
  <si>
    <t>8 x 8</t>
  </si>
  <si>
    <t>7 x 7</t>
  </si>
  <si>
    <t>6 x 6</t>
  </si>
  <si>
    <t>11 x 13</t>
  </si>
  <si>
    <r>
      <t>D</t>
    </r>
    <r>
      <rPr>
        <vertAlign val="subscript"/>
        <sz val="10"/>
        <rFont val="Arial"/>
        <family val="2"/>
      </rPr>
      <t>CLAMP</t>
    </r>
  </si>
  <si>
    <t>24V</t>
  </si>
  <si>
    <r>
      <t>C</t>
    </r>
    <r>
      <rPr>
        <vertAlign val="subscript"/>
        <sz val="10"/>
        <rFont val="Arial"/>
        <family val="2"/>
      </rPr>
      <t>OUT2</t>
    </r>
  </si>
  <si>
    <r>
      <t>D</t>
    </r>
    <r>
      <rPr>
        <vertAlign val="subscript"/>
        <sz val="10"/>
        <rFont val="Arial"/>
        <family val="2"/>
      </rPr>
      <t>FLY2</t>
    </r>
  </si>
  <si>
    <r>
      <t>D</t>
    </r>
    <r>
      <rPr>
        <vertAlign val="subscript"/>
        <sz val="10"/>
        <rFont val="Arial"/>
        <family val="2"/>
      </rPr>
      <t>FLY</t>
    </r>
  </si>
  <si>
    <r>
      <t>D</t>
    </r>
    <r>
      <rPr>
        <vertAlign val="subscript"/>
        <sz val="10"/>
        <rFont val="Arial"/>
        <family val="2"/>
      </rPr>
      <t>F</t>
    </r>
    <r>
      <rPr>
        <sz val="11"/>
        <color theme="1"/>
        <rFont val="Arial"/>
        <family val="2"/>
      </rPr>
      <t/>
    </r>
  </si>
  <si>
    <r>
      <t>R</t>
    </r>
    <r>
      <rPr>
        <vertAlign val="subscript"/>
        <sz val="10"/>
        <rFont val="Arial"/>
        <family val="2"/>
      </rPr>
      <t>SET</t>
    </r>
  </si>
  <si>
    <t>*** Use primary-side RC snubber from SW to VIN to dampen leakage inductance spike ***</t>
  </si>
  <si>
    <t>**** Use flyback diode RC snubber to dampen ringing if needed ****</t>
  </si>
  <si>
    <t>SOD323</t>
  </si>
  <si>
    <t>SOD123</t>
  </si>
  <si>
    <t>SMA</t>
  </si>
  <si>
    <t>Footprint</t>
  </si>
  <si>
    <t>Area</t>
  </si>
  <si>
    <t>Diode Size</t>
  </si>
  <si>
    <r>
      <t>D</t>
    </r>
    <r>
      <rPr>
        <vertAlign val="subscript"/>
        <sz val="10"/>
        <rFont val="Arial"/>
        <family val="2"/>
      </rPr>
      <t>OUT</t>
    </r>
  </si>
  <si>
    <t>3.6 x 1.8</t>
  </si>
  <si>
    <t>2.5 x 1.25</t>
  </si>
  <si>
    <t>SOD523</t>
  </si>
  <si>
    <t>Flyback Diode - forward current rating</t>
  </si>
  <si>
    <t>Flyback Diode - reverse voltage rating</t>
  </si>
  <si>
    <t>***** Use output zener to clamp the output at no load *****</t>
  </si>
  <si>
    <r>
      <t>Flyback Diode Voltage Drop, V</t>
    </r>
    <r>
      <rPr>
        <b/>
        <vertAlign val="subscript"/>
        <sz val="10"/>
        <rFont val="Arial"/>
        <family val="2"/>
      </rPr>
      <t>D(no-load)</t>
    </r>
  </si>
  <si>
    <r>
      <t>Flyback Diode Voltage Drop, V</t>
    </r>
    <r>
      <rPr>
        <b/>
        <vertAlign val="subscript"/>
        <sz val="10"/>
        <rFont val="Arial"/>
        <family val="2"/>
      </rPr>
      <t>D(full-load)</t>
    </r>
  </si>
  <si>
    <t>Flyback diode forward voltage at full load</t>
  </si>
  <si>
    <t>Flyback diode forward voltage at no load</t>
  </si>
  <si>
    <t>Vfwd1</t>
  </si>
  <si>
    <t>Vfwd2</t>
  </si>
  <si>
    <t>Transformer secondary winding DCR at 25°C</t>
  </si>
  <si>
    <t>Iout2_actual</t>
  </si>
  <si>
    <t>Maximum output current #1</t>
  </si>
  <si>
    <t>6ms Fixed</t>
  </si>
  <si>
    <t>Iout actual (A)</t>
  </si>
  <si>
    <t>Pout actual (W)</t>
  </si>
  <si>
    <t>Vout actual (V)</t>
  </si>
  <si>
    <t>Ton-diode (µs)</t>
  </si>
  <si>
    <t>Iout-actual</t>
  </si>
  <si>
    <t>Vout-actual -?</t>
  </si>
  <si>
    <t>Pout-actual (W)</t>
  </si>
  <si>
    <t>Vout-calc?</t>
  </si>
  <si>
    <r>
      <t>Duty Cycle at V</t>
    </r>
    <r>
      <rPr>
        <vertAlign val="subscript"/>
        <sz val="10"/>
        <rFont val="Arial"/>
        <family val="2"/>
      </rPr>
      <t>IN(min)</t>
    </r>
  </si>
  <si>
    <t>%</t>
  </si>
  <si>
    <t>Minimum Magnetizing Inductance</t>
  </si>
  <si>
    <t>Lmin</t>
  </si>
  <si>
    <t>Lleak</t>
  </si>
  <si>
    <t>nH</t>
  </si>
  <si>
    <t>Pri-Sec Leakage Inductance</t>
  </si>
  <si>
    <t>Check Fsw at  Iout-max</t>
  </si>
  <si>
    <t>Check Pout-max at  Iout-max</t>
  </si>
  <si>
    <t>LM5181 Parameters</t>
  </si>
  <si>
    <t>* Choose a transformer with saturation current rating higher than the peak current limit setting (5A) for all operating temperatures *</t>
  </si>
  <si>
    <t>LM25184-Q1</t>
  </si>
  <si>
    <t>VARIANT</t>
  </si>
  <si>
    <t>LM25184</t>
  </si>
  <si>
    <t>LM25183</t>
  </si>
  <si>
    <t xml:space="preserve">                      LM25183/4-Q1 PSR Flyback Converter Design Tool  </t>
  </si>
  <si>
    <r>
      <t>LM25183/4 Power Dissipation at Full Load, P</t>
    </r>
    <r>
      <rPr>
        <vertAlign val="subscript"/>
        <sz val="10"/>
        <rFont val="Arial"/>
        <family val="2"/>
      </rPr>
      <t>D</t>
    </r>
  </si>
  <si>
    <r>
      <t>LM25183/4 Junction Temperature at Full Load, T</t>
    </r>
    <r>
      <rPr>
        <vertAlign val="subscript"/>
        <sz val="10"/>
        <rFont val="Arial"/>
        <family val="2"/>
      </rPr>
      <t>J</t>
    </r>
  </si>
  <si>
    <t>SMB</t>
  </si>
  <si>
    <t>SMC</t>
  </si>
  <si>
    <t>TO-277</t>
  </si>
  <si>
    <t>5.0 x 2.7</t>
  </si>
  <si>
    <t>5.3 x 3.6</t>
  </si>
  <si>
    <t>8.1 x 6.2</t>
  </si>
  <si>
    <t>6.5 x 4.3</t>
  </si>
  <si>
    <r>
      <t>D</t>
    </r>
    <r>
      <rPr>
        <vertAlign val="subscript"/>
        <sz val="10"/>
        <rFont val="Arial"/>
        <family val="2"/>
      </rPr>
      <t>OUT2</t>
    </r>
  </si>
  <si>
    <t>uH</t>
  </si>
  <si>
    <t xml:space="preserve"> LM25183/4/-Q1 PSR Flyback Converter Design Tool</t>
  </si>
  <si>
    <t>LM25184EVM-S12 PCB Design, 2.2" x 1.4" (56mm x 36mm)</t>
  </si>
  <si>
    <t>toff-min LM25183</t>
  </si>
  <si>
    <t>toff-min LM25184</t>
  </si>
  <si>
    <t>toff_min1</t>
  </si>
  <si>
    <t>toff_min2</t>
  </si>
  <si>
    <r>
      <t>Primary Winding DCR Loss at Vin</t>
    </r>
    <r>
      <rPr>
        <vertAlign val="subscript"/>
        <sz val="10"/>
        <color theme="1"/>
        <rFont val="Arial"/>
        <family val="2"/>
      </rPr>
      <t>(nom)</t>
    </r>
  </si>
  <si>
    <r>
      <t>Secondary Winding DCR Loss at Vin</t>
    </r>
    <r>
      <rPr>
        <vertAlign val="subscript"/>
        <sz val="10"/>
        <color theme="1"/>
        <rFont val="Arial"/>
        <family val="2"/>
      </rPr>
      <t>(nom)</t>
    </r>
  </si>
  <si>
    <r>
      <t>Peak Primary Current at Vin</t>
    </r>
    <r>
      <rPr>
        <vertAlign val="subscript"/>
        <sz val="10"/>
        <color theme="1"/>
        <rFont val="Arial"/>
        <family val="2"/>
      </rPr>
      <t>(nom)</t>
    </r>
  </si>
  <si>
    <r>
      <t>Peak Secondary Current at Vin</t>
    </r>
    <r>
      <rPr>
        <vertAlign val="subscript"/>
        <sz val="10"/>
        <color theme="1"/>
        <rFont val="Arial"/>
        <family val="2"/>
      </rPr>
      <t>(nom)</t>
    </r>
  </si>
  <si>
    <t>Assume BCM</t>
  </si>
  <si>
    <t>Output Pk-Pk Ripple (mV)</t>
  </si>
  <si>
    <t>Fsw-FFM (kHz)</t>
  </si>
  <si>
    <t>Iout-max-FFM (A)</t>
  </si>
  <si>
    <t xml:space="preserve">Fsw-DCM/BCM (kHz) </t>
  </si>
  <si>
    <t>Output #1 Pk-Pk Ripple (mV)</t>
  </si>
  <si>
    <t>Output #2 Pk-Pk Ripple (mV)</t>
  </si>
  <si>
    <t>Input Pk-Pk Ripple (mV)</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</si>
</sst>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_(* \(#,##0.00\);_(* &quot;-&quot;??_);_(@_)"/>
    <numFmt numFmtId="164" formatCode="0.00000"/>
    <numFmt numFmtId="165" formatCode="0.0000"/>
    <numFmt numFmtId="166" formatCode="0.000"/>
    <numFmt numFmtId="167" formatCode="0.0"/>
    <numFmt numFmtId="168" formatCode="0.000E+00"/>
    <numFmt numFmtId="169" formatCode="#0.0#"/>
    <numFmt numFmtId="170" formatCode="General&quot;k&quot;"/>
    <numFmt numFmtId="171" formatCode="General&quot;µF&quot;"/>
    <numFmt numFmtId="172" formatCode="General&quot;µH&quot;"/>
    <numFmt numFmtId="173" formatCode="&quot;Inductor, &quot;General&quot;-µH, 10%&quot;"/>
    <numFmt numFmtId="174" formatCode="&quot;Resistor, Chip, &quot;General&quot;-kΩ, 1/16W, 1%&quot;"/>
    <numFmt numFmtId="175" formatCode="0.E+00"/>
    <numFmt numFmtId="176" formatCode="0.0E+00"/>
    <numFmt numFmtId="177" formatCode="&quot;Capacitor, Ceramic, &quot;General&quot;-µF, 100V, X7R, 20%&quot;"/>
    <numFmt numFmtId="178" formatCode="0.000%"/>
    <numFmt numFmtId="179" formatCode="&quot;Capacitor, Ceramic, &quot;General&quot;-µF, 16V, X7R, 20%&quot;"/>
    <numFmt numFmtId="180" formatCode="&quot;Resistor, Chip, &quot;General&quot; kΩ, 1/16W, 1%&quot;"/>
    <numFmt numFmtId="181" formatCode="General&quot;M&quot;"/>
    <numFmt numFmtId="182" formatCode="&quot;Resistor, Chip, &quot;General&quot;kΩ, 1/16W, 1%&quot;"/>
    <numFmt numFmtId="183" formatCode="0E+00"/>
  </numFmts>
  <fonts count="83" x14ac:knownFonts="1">
    <font>
      <sz val="10"/>
      <name val="Arial"/>
    </font>
    <font>
      <sz val="11"/>
      <color theme="1"/>
      <name val="Arial"/>
      <family val="2"/>
    </font>
    <font>
      <sz val="11"/>
      <color theme="1"/>
      <name val="Calibri"/>
      <family val="2"/>
      <scheme val="minor"/>
    </font>
    <font>
      <sz val="10"/>
      <name val="Arial"/>
      <family val="2"/>
    </font>
    <font>
      <b/>
      <sz val="10"/>
      <name val="Arial"/>
      <family val="2"/>
    </font>
    <font>
      <b/>
      <sz val="22"/>
      <color indexed="44"/>
      <name val="Arial"/>
      <family val="2"/>
    </font>
    <font>
      <sz val="8"/>
      <name val="Arial"/>
      <family val="2"/>
    </font>
    <font>
      <b/>
      <i/>
      <sz val="10"/>
      <name val="Arial"/>
      <family val="2"/>
    </font>
    <font>
      <sz val="10"/>
      <name val="Arial"/>
      <family val="2"/>
    </font>
    <font>
      <vertAlign val="subscript"/>
      <sz val="10"/>
      <name val="Arial"/>
      <family val="2"/>
    </font>
    <font>
      <u/>
      <sz val="10"/>
      <color indexed="12"/>
      <name val="Arial"/>
      <family val="2"/>
    </font>
    <font>
      <b/>
      <sz val="16"/>
      <name val="Arial"/>
      <family val="2"/>
    </font>
    <font>
      <sz val="10"/>
      <color indexed="44"/>
      <name val="Arial"/>
      <family val="2"/>
    </font>
    <font>
      <b/>
      <sz val="28"/>
      <color indexed="44"/>
      <name val="Arial"/>
      <family val="2"/>
    </font>
    <font>
      <b/>
      <sz val="10"/>
      <color indexed="44"/>
      <name val="Arial"/>
      <family val="2"/>
    </font>
    <font>
      <sz val="10"/>
      <color indexed="8"/>
      <name val="Arial"/>
      <family val="2"/>
    </font>
    <font>
      <b/>
      <sz val="24"/>
      <color indexed="44"/>
      <name val="Arial"/>
      <family val="2"/>
    </font>
    <font>
      <sz val="10"/>
      <name val="Calibri"/>
      <family val="2"/>
    </font>
    <font>
      <b/>
      <sz val="10"/>
      <name val="Calibri"/>
      <family val="2"/>
    </font>
    <font>
      <sz val="10"/>
      <color indexed="55"/>
      <name val="Calibri"/>
      <family val="2"/>
    </font>
    <font>
      <b/>
      <sz val="10"/>
      <color indexed="9"/>
      <name val="Calibri"/>
      <family val="2"/>
    </font>
    <font>
      <b/>
      <sz val="12"/>
      <color indexed="48"/>
      <name val="Arial"/>
      <family val="2"/>
    </font>
    <font>
      <b/>
      <sz val="12"/>
      <color indexed="12"/>
      <name val="Arial"/>
      <family val="2"/>
    </font>
    <font>
      <b/>
      <sz val="12"/>
      <color indexed="9"/>
      <name val="Calibri"/>
      <family val="2"/>
    </font>
    <font>
      <b/>
      <sz val="22"/>
      <color indexed="9"/>
      <name val="Calibri"/>
      <family val="2"/>
    </font>
    <font>
      <b/>
      <sz val="10"/>
      <color indexed="13"/>
      <name val="Calibri"/>
      <family val="2"/>
    </font>
    <font>
      <sz val="10"/>
      <color indexed="56"/>
      <name val="Calibri"/>
      <family val="2"/>
    </font>
    <font>
      <sz val="10"/>
      <color indexed="8"/>
      <name val="Arial"/>
      <family val="2"/>
    </font>
    <font>
      <b/>
      <sz val="14"/>
      <color indexed="9"/>
      <name val="Calibri"/>
      <family val="2"/>
    </font>
    <font>
      <sz val="11"/>
      <color indexed="81"/>
      <name val="Tahoma"/>
      <family val="2"/>
    </font>
    <font>
      <b/>
      <i/>
      <sz val="14"/>
      <color indexed="12"/>
      <name val="Calibri"/>
      <family val="2"/>
    </font>
    <font>
      <b/>
      <sz val="9"/>
      <color indexed="81"/>
      <name val="Tahoma"/>
      <family val="2"/>
    </font>
    <font>
      <sz val="9"/>
      <color indexed="81"/>
      <name val="Tahoma"/>
      <family val="2"/>
    </font>
    <font>
      <b/>
      <u/>
      <sz val="9"/>
      <color indexed="81"/>
      <name val="Tahoma"/>
      <family val="2"/>
    </font>
    <font>
      <sz val="11"/>
      <color indexed="10"/>
      <name val="Tahoma"/>
      <family val="2"/>
    </font>
    <font>
      <b/>
      <sz val="11"/>
      <color indexed="10"/>
      <name val="Tahoma"/>
      <family val="2"/>
    </font>
    <font>
      <b/>
      <sz val="9"/>
      <color indexed="10"/>
      <name val="Tahoma"/>
      <family val="2"/>
    </font>
    <font>
      <sz val="9"/>
      <color indexed="39"/>
      <name val="Tahoma"/>
      <family val="2"/>
    </font>
    <font>
      <b/>
      <sz val="9"/>
      <color indexed="39"/>
      <name val="Tahoma"/>
      <family val="2"/>
    </font>
    <font>
      <b/>
      <vertAlign val="subscript"/>
      <sz val="9"/>
      <color indexed="81"/>
      <name val="Tahoma"/>
      <family val="2"/>
    </font>
    <font>
      <sz val="36"/>
      <color rgb="FFFF0000"/>
      <name val="Arial"/>
      <family val="2"/>
    </font>
    <font>
      <b/>
      <u/>
      <sz val="11"/>
      <color indexed="10"/>
      <name val="Tahoma"/>
      <family val="2"/>
    </font>
    <font>
      <sz val="16"/>
      <color theme="0"/>
      <name val="Arial"/>
      <family val="2"/>
    </font>
    <font>
      <b/>
      <vertAlign val="subscript"/>
      <sz val="10"/>
      <name val="Arial"/>
      <family val="2"/>
    </font>
    <font>
      <sz val="10"/>
      <color indexed="23"/>
      <name val="Arial"/>
      <family val="2"/>
    </font>
    <font>
      <sz val="10"/>
      <color indexed="55"/>
      <name val="Arial"/>
      <family val="2"/>
    </font>
    <font>
      <b/>
      <i/>
      <sz val="10"/>
      <color indexed="55"/>
      <name val="Arial"/>
      <family val="2"/>
    </font>
    <font>
      <b/>
      <i/>
      <sz val="14"/>
      <color indexed="12"/>
      <name val="Arial"/>
      <family val="2"/>
    </font>
    <font>
      <b/>
      <sz val="10"/>
      <color rgb="FFFF0000"/>
      <name val="Arial"/>
      <family val="2"/>
    </font>
    <font>
      <sz val="10"/>
      <color theme="1"/>
      <name val="Arial"/>
      <family val="2"/>
    </font>
    <font>
      <b/>
      <sz val="10"/>
      <color theme="1"/>
      <name val="Arial"/>
      <family val="2"/>
    </font>
    <font>
      <b/>
      <vertAlign val="subscript"/>
      <sz val="10"/>
      <color theme="1"/>
      <name val="Arial"/>
      <family val="2"/>
    </font>
    <font>
      <b/>
      <sz val="12"/>
      <color rgb="FF003366"/>
      <name val="Calibri"/>
      <family val="2"/>
    </font>
    <font>
      <sz val="10"/>
      <name val="Symbol"/>
      <family val="1"/>
      <charset val="2"/>
    </font>
    <font>
      <b/>
      <sz val="10"/>
      <color indexed="9"/>
      <name val="Arial"/>
      <family val="2"/>
    </font>
    <font>
      <b/>
      <sz val="12"/>
      <color rgb="FF0000FF"/>
      <name val="Arial"/>
      <family val="2"/>
    </font>
    <font>
      <b/>
      <u/>
      <sz val="10"/>
      <name val="Arial"/>
      <family val="2"/>
    </font>
    <font>
      <u/>
      <sz val="9"/>
      <color indexed="12"/>
      <name val="Tahoma"/>
      <family val="2"/>
    </font>
    <font>
      <sz val="10"/>
      <color rgb="FFFF0000"/>
      <name val="Arial"/>
      <family val="2"/>
    </font>
    <font>
      <sz val="10"/>
      <color theme="0"/>
      <name val="Arial"/>
      <family val="2"/>
    </font>
    <font>
      <sz val="30"/>
      <color theme="0"/>
      <name val="Arial"/>
      <family val="2"/>
    </font>
    <font>
      <sz val="10"/>
      <name val="Cambria"/>
      <family val="1"/>
      <scheme val="major"/>
    </font>
    <font>
      <b/>
      <sz val="10"/>
      <color indexed="8"/>
      <name val="Arial"/>
      <family val="2"/>
    </font>
    <font>
      <sz val="10"/>
      <name val="Times New Roman"/>
      <family val="1"/>
    </font>
    <font>
      <sz val="18"/>
      <name val="Arial"/>
      <family val="2"/>
    </font>
    <font>
      <b/>
      <sz val="11"/>
      <name val="Symbol"/>
      <family val="1"/>
      <charset val="2"/>
    </font>
    <font>
      <b/>
      <sz val="10"/>
      <color rgb="FF0000FF"/>
      <name val="Arial"/>
      <family val="2"/>
    </font>
    <font>
      <u/>
      <sz val="10"/>
      <color theme="0" tint="-0.499984740745262"/>
      <name val="Arial"/>
      <family val="2"/>
    </font>
    <font>
      <vertAlign val="subscript"/>
      <sz val="9"/>
      <color indexed="81"/>
      <name val="Tahoma"/>
      <family val="2"/>
    </font>
    <font>
      <b/>
      <vertAlign val="subscript"/>
      <sz val="16"/>
      <name val="Arial"/>
      <family val="2"/>
    </font>
    <font>
      <b/>
      <sz val="10"/>
      <color rgb="FF33CC33"/>
      <name val="Arial"/>
      <family val="2"/>
    </font>
    <font>
      <sz val="10"/>
      <name val="Arial"/>
      <family val="2"/>
    </font>
    <font>
      <sz val="9"/>
      <color indexed="8"/>
      <name val="Tahoma"/>
      <family val="2"/>
    </font>
    <font>
      <b/>
      <sz val="10"/>
      <color theme="0"/>
      <name val="Arial"/>
      <family val="2"/>
    </font>
    <font>
      <b/>
      <vertAlign val="superscript"/>
      <sz val="10"/>
      <color theme="0"/>
      <name val="Arial"/>
      <family val="2"/>
    </font>
    <font>
      <b/>
      <sz val="11"/>
      <color rgb="FFFF0000"/>
      <name val="Arial"/>
      <family val="2"/>
    </font>
    <font>
      <b/>
      <sz val="12"/>
      <color rgb="FFFF0000"/>
      <name val="Arial"/>
      <family val="2"/>
    </font>
    <font>
      <b/>
      <vertAlign val="superscript"/>
      <sz val="12"/>
      <color rgb="FFFF0000"/>
      <name val="Arial"/>
      <family val="2"/>
    </font>
    <font>
      <sz val="34"/>
      <color theme="0"/>
      <name val="Arial"/>
      <family val="2"/>
    </font>
    <font>
      <b/>
      <sz val="10"/>
      <color theme="6" tint="-0.249977111117893"/>
      <name val="Arial"/>
      <family val="2"/>
    </font>
    <font>
      <sz val="10"/>
      <color rgb="FF0000FF"/>
      <name val="Arial"/>
      <family val="2"/>
    </font>
    <font>
      <b/>
      <sz val="10"/>
      <color theme="9" tint="-0.249977111117893"/>
      <name val="Arial"/>
      <family val="2"/>
    </font>
    <font>
      <vertAlign val="subscript"/>
      <sz val="10"/>
      <color theme="1"/>
      <name val="Arial"/>
      <family val="2"/>
    </font>
  </fonts>
  <fills count="29">
    <fill>
      <patternFill patternType="none"/>
    </fill>
    <fill>
      <patternFill patternType="gray125"/>
    </fill>
    <fill>
      <patternFill patternType="solid">
        <fgColor indexed="44"/>
        <bgColor indexed="64"/>
      </patternFill>
    </fill>
    <fill>
      <patternFill patternType="solid">
        <fgColor indexed="8"/>
        <bgColor indexed="64"/>
      </patternFill>
    </fill>
    <fill>
      <patternFill patternType="solid">
        <fgColor indexed="22"/>
        <bgColor indexed="64"/>
      </patternFill>
    </fill>
    <fill>
      <patternFill patternType="solid">
        <fgColor indexed="55"/>
        <bgColor indexed="64"/>
      </patternFill>
    </fill>
    <fill>
      <patternFill patternType="solid">
        <fgColor indexed="45"/>
        <bgColor indexed="64"/>
      </patternFill>
    </fill>
    <fill>
      <patternFill patternType="solid">
        <fgColor indexed="46"/>
        <bgColor indexed="64"/>
      </patternFill>
    </fill>
    <fill>
      <patternFill patternType="solid">
        <fgColor indexed="9"/>
        <bgColor indexed="64"/>
      </patternFill>
    </fill>
    <fill>
      <patternFill patternType="solid">
        <fgColor indexed="13"/>
        <bgColor indexed="64"/>
      </patternFill>
    </fill>
    <fill>
      <patternFill patternType="solid">
        <fgColor indexed="52"/>
        <bgColor indexed="64"/>
      </patternFill>
    </fill>
    <fill>
      <patternFill patternType="solid">
        <fgColor indexed="5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rgb="FFFFFF00"/>
        <bgColor indexed="64"/>
      </patternFill>
    </fill>
    <fill>
      <patternFill patternType="solid">
        <fgColor indexed="43"/>
        <bgColor indexed="64"/>
      </patternFill>
    </fill>
    <fill>
      <patternFill patternType="solid">
        <fgColor rgb="FFFFFF99"/>
        <bgColor indexed="64"/>
      </patternFill>
    </fill>
    <fill>
      <patternFill patternType="solid">
        <fgColor rgb="FFFF9900"/>
        <bgColor indexed="64"/>
      </patternFill>
    </fill>
    <fill>
      <patternFill patternType="solid">
        <fgColor rgb="FF99CC00"/>
        <bgColor indexed="64"/>
      </patternFill>
    </fill>
    <fill>
      <patternFill patternType="solid">
        <fgColor rgb="FFC0C0C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33CC33"/>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00FF"/>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55"/>
      </top>
      <bottom/>
      <diagonal/>
    </border>
    <border>
      <left/>
      <right/>
      <top/>
      <bottom style="medium">
        <color indexed="55"/>
      </bottom>
      <diagonal/>
    </border>
    <border>
      <left/>
      <right style="medium">
        <color indexed="55"/>
      </right>
      <top style="medium">
        <color indexed="55"/>
      </top>
      <bottom/>
      <diagonal/>
    </border>
    <border>
      <left/>
      <right style="medium">
        <color indexed="55"/>
      </right>
      <top/>
      <bottom/>
      <diagonal/>
    </border>
    <border>
      <left/>
      <right style="medium">
        <color indexed="55"/>
      </right>
      <top/>
      <bottom style="medium">
        <color indexed="55"/>
      </bottom>
      <diagonal/>
    </border>
    <border>
      <left style="medium">
        <color indexed="55"/>
      </left>
      <right/>
      <top style="medium">
        <color indexed="55"/>
      </top>
      <bottom/>
      <diagonal/>
    </border>
    <border>
      <left style="medium">
        <color indexed="55"/>
      </left>
      <right/>
      <top/>
      <bottom/>
      <diagonal/>
    </border>
    <border>
      <left style="medium">
        <color indexed="55"/>
      </left>
      <right/>
      <top/>
      <bottom style="medium">
        <color indexed="55"/>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indexed="64"/>
      </top>
      <bottom style="medium">
        <color indexed="64"/>
      </bottom>
      <diagonal/>
    </border>
    <border>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55"/>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s>
  <cellStyleXfs count="8">
    <xf numFmtId="0" fontId="0" fillId="0" borderId="0"/>
    <xf numFmtId="0" fontId="4" fillId="0" borderId="0" applyNumberFormat="0" applyFill="0" applyBorder="0" applyAlignment="0" applyProtection="0"/>
    <xf numFmtId="43" fontId="3"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2" fillId="0" borderId="0"/>
    <xf numFmtId="43" fontId="2" fillId="0" borderId="0" applyFont="0" applyFill="0" applyBorder="0" applyAlignment="0" applyProtection="0"/>
    <xf numFmtId="9" fontId="71" fillId="0" borderId="0" applyFont="0" applyFill="0" applyBorder="0" applyAlignment="0" applyProtection="0"/>
  </cellStyleXfs>
  <cellXfs count="711">
    <xf numFmtId="0" fontId="0" fillId="0" borderId="0" xfId="0"/>
    <xf numFmtId="0" fontId="76" fillId="8" borderId="0" xfId="4" applyFont="1" applyFill="1" applyAlignment="1">
      <alignment horizontal="right" wrapText="1"/>
    </xf>
    <xf numFmtId="0" fontId="23" fillId="24" borderId="0" xfId="0" applyFont="1" applyFill="1" applyBorder="1" applyAlignment="1" applyProtection="1">
      <alignment horizontal="center" vertical="center"/>
    </xf>
    <xf numFmtId="0" fontId="7" fillId="0" borderId="0" xfId="0" applyFont="1"/>
    <xf numFmtId="0" fontId="4" fillId="0" borderId="0" xfId="0" applyFont="1"/>
    <xf numFmtId="0" fontId="8" fillId="0" borderId="0" xfId="0" applyFont="1"/>
    <xf numFmtId="2" fontId="0" fillId="0" borderId="0" xfId="0" applyNumberFormat="1"/>
    <xf numFmtId="0" fontId="4" fillId="2" borderId="0" xfId="0" applyFont="1" applyFill="1"/>
    <xf numFmtId="0" fontId="0" fillId="0" borderId="0" xfId="0" applyBorder="1"/>
    <xf numFmtId="2" fontId="0" fillId="0" borderId="0" xfId="0" applyNumberFormat="1" applyBorder="1"/>
    <xf numFmtId="0" fontId="0" fillId="4" borderId="2" xfId="0" applyFill="1" applyBorder="1"/>
    <xf numFmtId="0" fontId="0" fillId="4" borderId="0" xfId="0" applyFill="1" applyBorder="1"/>
    <xf numFmtId="0" fontId="0" fillId="0" borderId="0" xfId="0" applyFill="1"/>
    <xf numFmtId="0" fontId="0" fillId="0" borderId="0" xfId="0" applyFill="1" applyBorder="1"/>
    <xf numFmtId="0" fontId="15" fillId="0" borderId="0" xfId="0" applyFont="1" applyFill="1" applyBorder="1"/>
    <xf numFmtId="0" fontId="4" fillId="0" borderId="0" xfId="0" applyFont="1" applyFill="1" applyBorder="1"/>
    <xf numFmtId="0" fontId="0" fillId="9" borderId="0" xfId="0" applyFill="1"/>
    <xf numFmtId="0" fontId="0" fillId="0" borderId="0" xfId="0" applyAlignment="1">
      <alignment horizontal="right"/>
    </xf>
    <xf numFmtId="0" fontId="17" fillId="0" borderId="0" xfId="0" applyFont="1"/>
    <xf numFmtId="11" fontId="7" fillId="0" borderId="0" xfId="0" applyNumberFormat="1" applyFont="1"/>
    <xf numFmtId="0" fontId="4" fillId="0" borderId="0" xfId="0" applyFont="1" applyFill="1" applyAlignment="1">
      <alignment horizontal="center"/>
    </xf>
    <xf numFmtId="0" fontId="4" fillId="4" borderId="0" xfId="0" applyFont="1" applyFill="1" applyAlignment="1">
      <alignment horizontal="center"/>
    </xf>
    <xf numFmtId="0" fontId="4" fillId="10" borderId="0" xfId="0" applyFont="1" applyFill="1" applyAlignment="1">
      <alignment horizontal="center"/>
    </xf>
    <xf numFmtId="0" fontId="4" fillId="11" borderId="0" xfId="0" applyFont="1" applyFill="1" applyAlignment="1">
      <alignment horizontal="center"/>
    </xf>
    <xf numFmtId="169" fontId="17" fillId="3" borderId="0" xfId="0" applyNumberFormat="1" applyFont="1" applyFill="1" applyBorder="1" applyAlignment="1" applyProtection="1">
      <alignment horizontal="center"/>
    </xf>
    <xf numFmtId="0" fontId="0" fillId="0" borderId="22" xfId="0" applyBorder="1"/>
    <xf numFmtId="0" fontId="0" fillId="0" borderId="23" xfId="0" applyBorder="1"/>
    <xf numFmtId="0" fontId="8" fillId="0" borderId="22" xfId="0" applyFont="1" applyBorder="1"/>
    <xf numFmtId="0" fontId="0" fillId="11" borderId="0" xfId="0" applyFill="1" applyBorder="1"/>
    <xf numFmtId="0" fontId="0" fillId="0" borderId="24" xfId="0" applyBorder="1"/>
    <xf numFmtId="0" fontId="0" fillId="0" borderId="25" xfId="0" applyBorder="1"/>
    <xf numFmtId="0" fontId="0" fillId="0" borderId="26" xfId="0" applyBorder="1"/>
    <xf numFmtId="0" fontId="0" fillId="0" borderId="2" xfId="0" applyBorder="1"/>
    <xf numFmtId="0" fontId="0" fillId="0" borderId="3" xfId="0" applyBorder="1"/>
    <xf numFmtId="0" fontId="7" fillId="0" borderId="22" xfId="0" applyFont="1" applyBorder="1"/>
    <xf numFmtId="0" fontId="4" fillId="0" borderId="22" xfId="0" applyFont="1" applyBorder="1"/>
    <xf numFmtId="11" fontId="0" fillId="11" borderId="0" xfId="0" applyNumberFormat="1" applyFill="1" applyBorder="1"/>
    <xf numFmtId="0" fontId="0" fillId="10" borderId="0" xfId="0" applyFill="1" applyBorder="1"/>
    <xf numFmtId="0" fontId="0" fillId="0" borderId="0" xfId="0" applyBorder="1" applyAlignment="1">
      <alignment horizontal="right"/>
    </xf>
    <xf numFmtId="0" fontId="0" fillId="0" borderId="25" xfId="0" applyBorder="1" applyAlignment="1">
      <alignment horizontal="right"/>
    </xf>
    <xf numFmtId="0" fontId="4" fillId="0" borderId="0" xfId="0" applyFont="1" applyBorder="1"/>
    <xf numFmtId="11" fontId="7" fillId="0" borderId="25" xfId="0" applyNumberFormat="1" applyFont="1" applyBorder="1"/>
    <xf numFmtId="11" fontId="0" fillId="4" borderId="0" xfId="0" applyNumberFormat="1" applyFill="1" applyBorder="1"/>
    <xf numFmtId="0" fontId="4" fillId="0" borderId="0" xfId="0" applyFont="1" applyFill="1" applyBorder="1" applyAlignment="1"/>
    <xf numFmtId="0" fontId="8" fillId="0" borderId="0" xfId="0" applyFont="1" applyFill="1" applyBorder="1" applyAlignment="1"/>
    <xf numFmtId="0" fontId="8" fillId="0" borderId="0" xfId="0" applyFont="1" applyFill="1" applyBorder="1"/>
    <xf numFmtId="0" fontId="17" fillId="3" borderId="0" xfId="0" applyFont="1" applyFill="1" applyBorder="1" applyProtection="1"/>
    <xf numFmtId="0" fontId="17" fillId="3" borderId="0" xfId="0" applyFont="1" applyFill="1" applyProtection="1"/>
    <xf numFmtId="0" fontId="18" fillId="8" borderId="0" xfId="0" applyFont="1" applyFill="1" applyBorder="1" applyAlignment="1" applyProtection="1"/>
    <xf numFmtId="0" fontId="18" fillId="8" borderId="0" xfId="0" applyFont="1" applyFill="1" applyBorder="1" applyAlignment="1" applyProtection="1">
      <alignment horizontal="right"/>
    </xf>
    <xf numFmtId="0" fontId="17" fillId="8" borderId="0" xfId="0" applyFont="1" applyFill="1" applyBorder="1" applyProtection="1"/>
    <xf numFmtId="0" fontId="21" fillId="0" borderId="0" xfId="0" applyFont="1" applyBorder="1"/>
    <xf numFmtId="0" fontId="4" fillId="0" borderId="0" xfId="0" applyFont="1" applyBorder="1" applyAlignment="1">
      <alignment horizontal="center"/>
    </xf>
    <xf numFmtId="0" fontId="0" fillId="0" borderId="1" xfId="0" applyBorder="1"/>
    <xf numFmtId="0" fontId="0" fillId="0" borderId="2" xfId="0" applyBorder="1" applyAlignment="1">
      <alignment horizontal="right"/>
    </xf>
    <xf numFmtId="0" fontId="22" fillId="0" borderId="0" xfId="0" applyFont="1" applyBorder="1"/>
    <xf numFmtId="0" fontId="4" fillId="0" borderId="22" xfId="0" applyFont="1" applyFill="1" applyBorder="1"/>
    <xf numFmtId="0" fontId="8" fillId="0" borderId="22" xfId="0" applyFont="1" applyFill="1" applyBorder="1"/>
    <xf numFmtId="0" fontId="0" fillId="0" borderId="2" xfId="0" applyBorder="1" applyAlignment="1"/>
    <xf numFmtId="0" fontId="27" fillId="0" borderId="0" xfId="0" applyFont="1" applyBorder="1"/>
    <xf numFmtId="0" fontId="27" fillId="4" borderId="0" xfId="0" applyFont="1" applyFill="1" applyBorder="1"/>
    <xf numFmtId="0" fontId="0" fillId="0" borderId="0" xfId="0" applyFont="1" applyFill="1" applyBorder="1"/>
    <xf numFmtId="0" fontId="21" fillId="0" borderId="32" xfId="0" applyFont="1" applyBorder="1"/>
    <xf numFmtId="0" fontId="0" fillId="0" borderId="27" xfId="0" applyBorder="1"/>
    <xf numFmtId="0" fontId="0" fillId="0" borderId="29" xfId="0" applyBorder="1"/>
    <xf numFmtId="0" fontId="8" fillId="0" borderId="33" xfId="0" applyFont="1" applyBorder="1"/>
    <xf numFmtId="0" fontId="0" fillId="0" borderId="30" xfId="0" applyBorder="1"/>
    <xf numFmtId="0" fontId="27" fillId="0" borderId="33" xfId="0" applyFont="1" applyBorder="1"/>
    <xf numFmtId="0" fontId="27" fillId="0" borderId="33" xfId="0" applyFont="1" applyFill="1" applyBorder="1"/>
    <xf numFmtId="0" fontId="27" fillId="0" borderId="34" xfId="0" applyFont="1" applyBorder="1"/>
    <xf numFmtId="0" fontId="27" fillId="0" borderId="28" xfId="0" applyFont="1" applyBorder="1"/>
    <xf numFmtId="0" fontId="0" fillId="0" borderId="28" xfId="0" applyBorder="1"/>
    <xf numFmtId="0" fontId="0" fillId="0" borderId="31" xfId="0" applyBorder="1"/>
    <xf numFmtId="0" fontId="19" fillId="8" borderId="0" xfId="0" applyFont="1" applyFill="1" applyBorder="1" applyProtection="1"/>
    <xf numFmtId="2" fontId="17" fillId="8" borderId="0" xfId="0" applyNumberFormat="1" applyFont="1" applyFill="1" applyBorder="1" applyProtection="1"/>
    <xf numFmtId="165" fontId="17" fillId="8" borderId="0" xfId="0" applyNumberFormat="1" applyFont="1" applyFill="1" applyBorder="1" applyProtection="1"/>
    <xf numFmtId="0" fontId="17" fillId="12" borderId="0" xfId="0" applyFont="1" applyFill="1" applyProtection="1"/>
    <xf numFmtId="0" fontId="3" fillId="0" borderId="0" xfId="0" applyFont="1"/>
    <xf numFmtId="0" fontId="3" fillId="0" borderId="0" xfId="0" applyFont="1" applyBorder="1"/>
    <xf numFmtId="0" fontId="0" fillId="0" borderId="0" xfId="0" applyBorder="1" applyAlignment="1">
      <alignment horizontal="left"/>
    </xf>
    <xf numFmtId="0" fontId="3" fillId="0" borderId="2" xfId="0" applyFont="1" applyBorder="1"/>
    <xf numFmtId="0" fontId="3" fillId="0" borderId="25" xfId="0" applyFont="1" applyBorder="1"/>
    <xf numFmtId="0" fontId="30" fillId="8" borderId="0" xfId="0" applyFont="1" applyFill="1" applyBorder="1" applyAlignment="1" applyProtection="1"/>
    <xf numFmtId="0" fontId="17" fillId="12" borderId="0" xfId="0" applyFont="1" applyFill="1" applyBorder="1" applyProtection="1"/>
    <xf numFmtId="0" fontId="20" fillId="15" borderId="0" xfId="0" applyFont="1" applyFill="1" applyBorder="1" applyAlignment="1" applyProtection="1">
      <alignment vertical="center"/>
    </xf>
    <xf numFmtId="0" fontId="0" fillId="14" borderId="0" xfId="0" applyFill="1"/>
    <xf numFmtId="0" fontId="42" fillId="14" borderId="0" xfId="0" applyFont="1" applyFill="1"/>
    <xf numFmtId="0" fontId="4" fillId="8" borderId="0" xfId="0" applyFont="1" applyFill="1" applyBorder="1" applyAlignment="1" applyProtection="1">
      <alignment horizontal="right"/>
    </xf>
    <xf numFmtId="0" fontId="3" fillId="8" borderId="0" xfId="0" applyFont="1" applyFill="1" applyBorder="1" applyAlignment="1" applyProtection="1">
      <alignment horizontal="right"/>
    </xf>
    <xf numFmtId="0" fontId="3" fillId="8" borderId="22" xfId="0" applyFont="1" applyFill="1" applyBorder="1" applyProtection="1"/>
    <xf numFmtId="0" fontId="3" fillId="8" borderId="0" xfId="0" applyFont="1" applyFill="1" applyBorder="1" applyProtection="1"/>
    <xf numFmtId="0" fontId="45" fillId="8" borderId="0" xfId="0" applyFont="1" applyFill="1" applyBorder="1" applyProtection="1"/>
    <xf numFmtId="0" fontId="46" fillId="8" borderId="0" xfId="0" applyFont="1" applyFill="1" applyBorder="1" applyProtection="1"/>
    <xf numFmtId="0" fontId="47" fillId="8" borderId="0" xfId="0" applyFont="1" applyFill="1" applyBorder="1" applyAlignment="1" applyProtection="1"/>
    <xf numFmtId="0" fontId="4" fillId="8" borderId="0" xfId="0" applyFont="1" applyFill="1" applyBorder="1" applyAlignment="1" applyProtection="1"/>
    <xf numFmtId="167" fontId="4" fillId="8" borderId="0" xfId="0" applyNumberFormat="1" applyFont="1" applyFill="1" applyBorder="1" applyAlignment="1" applyProtection="1"/>
    <xf numFmtId="0" fontId="47" fillId="8" borderId="0" xfId="0" applyFont="1" applyFill="1" applyBorder="1" applyProtection="1"/>
    <xf numFmtId="0" fontId="4" fillId="8" borderId="0" xfId="0" applyFont="1" applyFill="1" applyBorder="1" applyProtection="1"/>
    <xf numFmtId="0" fontId="4" fillId="8" borderId="22" xfId="0" applyFont="1" applyFill="1" applyBorder="1" applyProtection="1"/>
    <xf numFmtId="0" fontId="4" fillId="15" borderId="0" xfId="0" applyFont="1" applyFill="1" applyBorder="1" applyProtection="1">
      <protection locked="0"/>
    </xf>
    <xf numFmtId="1" fontId="44" fillId="8" borderId="0" xfId="0" applyNumberFormat="1" applyFont="1" applyFill="1" applyBorder="1" applyAlignment="1" applyProtection="1">
      <alignment horizontal="right"/>
    </xf>
    <xf numFmtId="0" fontId="50" fillId="8" borderId="0" xfId="0" applyFont="1" applyFill="1" applyBorder="1" applyAlignment="1" applyProtection="1">
      <alignment horizontal="right"/>
    </xf>
    <xf numFmtId="0" fontId="3" fillId="8" borderId="24" xfId="0" applyFont="1" applyFill="1" applyBorder="1" applyProtection="1"/>
    <xf numFmtId="0" fontId="3" fillId="8" borderId="25" xfId="0" applyFont="1" applyFill="1" applyBorder="1" applyProtection="1"/>
    <xf numFmtId="0" fontId="3" fillId="8" borderId="23" xfId="0" applyFont="1" applyFill="1" applyBorder="1" applyProtection="1"/>
    <xf numFmtId="0" fontId="3" fillId="8" borderId="39" xfId="0" applyFont="1" applyFill="1" applyBorder="1" applyProtection="1"/>
    <xf numFmtId="0" fontId="3" fillId="8" borderId="40" xfId="0" applyFont="1" applyFill="1" applyBorder="1" applyProtection="1"/>
    <xf numFmtId="0" fontId="22" fillId="8" borderId="22" xfId="0" applyFont="1" applyFill="1" applyBorder="1" applyAlignment="1" applyProtection="1">
      <alignment vertical="center"/>
    </xf>
    <xf numFmtId="0" fontId="17" fillId="3" borderId="22" xfId="0" applyFont="1" applyFill="1" applyBorder="1" applyProtection="1"/>
    <xf numFmtId="0" fontId="4" fillId="8" borderId="39" xfId="0" applyFont="1" applyFill="1" applyBorder="1" applyProtection="1"/>
    <xf numFmtId="0" fontId="3" fillId="0" borderId="1" xfId="0" applyFont="1" applyBorder="1"/>
    <xf numFmtId="0" fontId="3" fillId="0" borderId="22" xfId="0" applyFont="1" applyBorder="1"/>
    <xf numFmtId="0" fontId="3" fillId="0" borderId="0" xfId="0" applyFont="1" applyFill="1" applyBorder="1"/>
    <xf numFmtId="2" fontId="0" fillId="0" borderId="0" xfId="0" applyNumberFormat="1" applyBorder="1" applyAlignment="1">
      <alignment horizontal="right"/>
    </xf>
    <xf numFmtId="0" fontId="53" fillId="0" borderId="0" xfId="0" applyFont="1" applyBorder="1"/>
    <xf numFmtId="0" fontId="3" fillId="8" borderId="0" xfId="4" applyFill="1"/>
    <xf numFmtId="0" fontId="11" fillId="8" borderId="0" xfId="4" applyFont="1" applyFill="1" applyAlignment="1">
      <alignment vertical="center"/>
    </xf>
    <xf numFmtId="0" fontId="3" fillId="16" borderId="17" xfId="4" applyFill="1" applyBorder="1" applyAlignment="1">
      <alignment horizontal="center" vertical="center"/>
    </xf>
    <xf numFmtId="0" fontId="3" fillId="8" borderId="0" xfId="4" applyFill="1" applyAlignment="1">
      <alignment vertical="center"/>
    </xf>
    <xf numFmtId="0" fontId="3" fillId="17" borderId="17" xfId="4" applyFill="1" applyBorder="1" applyAlignment="1">
      <alignment horizontal="center" vertical="center"/>
    </xf>
    <xf numFmtId="0" fontId="3" fillId="17" borderId="11" xfId="4" applyFill="1" applyBorder="1" applyAlignment="1">
      <alignment vertical="center" wrapText="1"/>
    </xf>
    <xf numFmtId="170" fontId="3" fillId="17" borderId="11" xfId="4" applyNumberFormat="1" applyFill="1" applyBorder="1" applyAlignment="1">
      <alignment horizontal="center" vertical="center"/>
    </xf>
    <xf numFmtId="0" fontId="3" fillId="17" borderId="11" xfId="4" quotePrefix="1" applyFill="1" applyBorder="1" applyAlignment="1">
      <alignment horizontal="left" vertical="center"/>
    </xf>
    <xf numFmtId="0" fontId="3" fillId="17" borderId="11" xfId="4" applyFill="1" applyBorder="1" applyAlignment="1">
      <alignment horizontal="left" vertical="center"/>
    </xf>
    <xf numFmtId="0" fontId="3" fillId="12" borderId="17" xfId="4" applyFill="1" applyBorder="1" applyAlignment="1">
      <alignment horizontal="center" vertical="center"/>
    </xf>
    <xf numFmtId="0" fontId="3" fillId="12" borderId="11" xfId="4" applyFill="1" applyBorder="1" applyAlignment="1">
      <alignment vertical="center" wrapText="1"/>
    </xf>
    <xf numFmtId="170" fontId="3" fillId="12" borderId="11" xfId="4" applyNumberFormat="1" applyFill="1" applyBorder="1" applyAlignment="1">
      <alignment horizontal="center" vertical="center"/>
    </xf>
    <xf numFmtId="0" fontId="3" fillId="12" borderId="11" xfId="4" quotePrefix="1" applyFill="1" applyBorder="1" applyAlignment="1">
      <alignment horizontal="left" vertical="center"/>
    </xf>
    <xf numFmtId="0" fontId="3" fillId="12" borderId="11" xfId="4" applyFill="1" applyBorder="1" applyAlignment="1">
      <alignment horizontal="left" vertical="center"/>
    </xf>
    <xf numFmtId="0" fontId="3" fillId="16" borderId="11" xfId="4" applyFill="1" applyBorder="1" applyAlignment="1">
      <alignment vertical="center" wrapText="1"/>
    </xf>
    <xf numFmtId="0" fontId="3" fillId="16" borderId="11" xfId="4" quotePrefix="1" applyFill="1" applyBorder="1" applyAlignment="1">
      <alignment horizontal="left" vertical="center"/>
    </xf>
    <xf numFmtId="0" fontId="3" fillId="16" borderId="11" xfId="4" applyFill="1" applyBorder="1" applyAlignment="1">
      <alignment horizontal="left" vertical="center"/>
    </xf>
    <xf numFmtId="171" fontId="3" fillId="16" borderId="11" xfId="4" applyNumberFormat="1" applyFill="1" applyBorder="1" applyAlignment="1">
      <alignment horizontal="center" vertical="center"/>
    </xf>
    <xf numFmtId="0" fontId="3" fillId="12" borderId="0" xfId="4" applyFill="1"/>
    <xf numFmtId="1" fontId="0" fillId="4" borderId="0" xfId="0" applyNumberFormat="1" applyFill="1" applyBorder="1"/>
    <xf numFmtId="0" fontId="3" fillId="8" borderId="0" xfId="0" applyFont="1" applyFill="1" applyBorder="1" applyAlignment="1" applyProtection="1">
      <alignment vertical="center"/>
    </xf>
    <xf numFmtId="0" fontId="3" fillId="8" borderId="22" xfId="0" applyFont="1" applyFill="1" applyBorder="1" applyAlignment="1" applyProtection="1">
      <alignment vertical="center"/>
    </xf>
    <xf numFmtId="0" fontId="3" fillId="8" borderId="0" xfId="0" applyFont="1" applyFill="1" applyBorder="1" applyAlignment="1" applyProtection="1">
      <alignment horizontal="right" vertical="center"/>
    </xf>
    <xf numFmtId="0" fontId="3" fillId="8" borderId="23" xfId="0" applyFont="1" applyFill="1" applyBorder="1" applyAlignment="1" applyProtection="1">
      <alignment vertical="center"/>
    </xf>
    <xf numFmtId="0" fontId="3" fillId="8" borderId="24" xfId="0" applyFont="1" applyFill="1" applyBorder="1" applyAlignment="1" applyProtection="1">
      <alignment vertical="center"/>
    </xf>
    <xf numFmtId="0" fontId="3" fillId="8" borderId="25" xfId="0" applyFont="1" applyFill="1" applyBorder="1" applyAlignment="1" applyProtection="1">
      <alignment vertical="center"/>
    </xf>
    <xf numFmtId="0" fontId="3" fillId="8" borderId="26" xfId="0" applyFont="1" applyFill="1" applyBorder="1" applyAlignment="1" applyProtection="1">
      <alignment vertical="center"/>
    </xf>
    <xf numFmtId="0" fontId="3" fillId="8" borderId="37" xfId="0" applyFont="1" applyFill="1" applyBorder="1" applyAlignment="1" applyProtection="1">
      <alignment vertical="center"/>
    </xf>
    <xf numFmtId="0" fontId="3" fillId="8" borderId="2" xfId="0" applyFont="1" applyFill="1" applyBorder="1" applyAlignment="1" applyProtection="1">
      <alignment vertical="center"/>
    </xf>
    <xf numFmtId="0" fontId="3" fillId="8" borderId="2" xfId="0" applyFont="1" applyFill="1" applyBorder="1" applyAlignment="1" applyProtection="1">
      <alignment horizontal="right" vertical="center"/>
    </xf>
    <xf numFmtId="0" fontId="50" fillId="8" borderId="2" xfId="0" applyFont="1" applyFill="1" applyBorder="1" applyAlignment="1" applyProtection="1">
      <alignment horizontal="right" vertical="center"/>
    </xf>
    <xf numFmtId="0" fontId="4" fillId="15" borderId="2" xfId="0" applyNumberFormat="1" applyFont="1" applyFill="1" applyBorder="1" applyAlignment="1" applyProtection="1">
      <alignment vertical="center"/>
      <protection locked="0"/>
    </xf>
    <xf numFmtId="0" fontId="50" fillId="8" borderId="0" xfId="0" applyFont="1" applyFill="1" applyBorder="1" applyAlignment="1" applyProtection="1">
      <alignment horizontal="right" vertical="center"/>
    </xf>
    <xf numFmtId="0" fontId="4" fillId="15" borderId="0" xfId="0" applyNumberFormat="1" applyFont="1" applyFill="1" applyBorder="1" applyAlignment="1" applyProtection="1">
      <alignment vertical="center"/>
      <protection locked="0"/>
    </xf>
    <xf numFmtId="0" fontId="4" fillId="8" borderId="23" xfId="0" applyFont="1" applyFill="1" applyBorder="1" applyAlignment="1" applyProtection="1">
      <alignment vertical="center"/>
    </xf>
    <xf numFmtId="1" fontId="3" fillId="8" borderId="0" xfId="0" applyNumberFormat="1" applyFont="1" applyFill="1" applyBorder="1" applyAlignment="1" applyProtection="1">
      <alignment horizontal="right" vertical="center"/>
    </xf>
    <xf numFmtId="0" fontId="50" fillId="12" borderId="0" xfId="0" applyFont="1" applyFill="1" applyBorder="1" applyAlignment="1" applyProtection="1">
      <alignment horizontal="right" vertical="center"/>
    </xf>
    <xf numFmtId="0" fontId="4" fillId="15" borderId="0" xfId="0" applyFont="1" applyFill="1" applyBorder="1" applyAlignment="1" applyProtection="1">
      <alignment vertical="center"/>
      <protection locked="0"/>
    </xf>
    <xf numFmtId="0" fontId="4" fillId="8" borderId="0" xfId="0" applyFont="1" applyFill="1" applyBorder="1" applyAlignment="1" applyProtection="1">
      <alignment vertical="center"/>
    </xf>
    <xf numFmtId="0" fontId="4" fillId="8" borderId="0" xfId="0" applyFont="1" applyFill="1" applyBorder="1" applyAlignment="1" applyProtection="1">
      <alignment horizontal="right" vertical="center"/>
    </xf>
    <xf numFmtId="0" fontId="4" fillId="15" borderId="0" xfId="0" applyNumberFormat="1" applyFont="1" applyFill="1" applyBorder="1" applyAlignment="1" applyProtection="1">
      <alignment horizontal="right" vertical="center"/>
      <protection locked="0"/>
    </xf>
    <xf numFmtId="0" fontId="3" fillId="8" borderId="39" xfId="0" applyFont="1" applyFill="1" applyBorder="1" applyAlignment="1" applyProtection="1">
      <alignment vertical="center"/>
    </xf>
    <xf numFmtId="0" fontId="0" fillId="0" borderId="35" xfId="0" applyBorder="1"/>
    <xf numFmtId="0" fontId="0" fillId="18" borderId="0" xfId="0" applyFill="1" applyBorder="1"/>
    <xf numFmtId="0" fontId="3" fillId="0" borderId="0" xfId="0" applyFont="1" applyBorder="1" applyAlignment="1">
      <alignment horizontal="right"/>
    </xf>
    <xf numFmtId="0" fontId="4" fillId="0" borderId="35" xfId="0" applyFont="1" applyBorder="1" applyAlignment="1">
      <alignment horizontal="right"/>
    </xf>
    <xf numFmtId="0" fontId="4" fillId="0" borderId="25" xfId="0" applyFont="1" applyBorder="1" applyAlignment="1">
      <alignment horizontal="right"/>
    </xf>
    <xf numFmtId="0" fontId="4" fillId="0" borderId="0" xfId="0" applyFont="1" applyAlignment="1">
      <alignment horizontal="right"/>
    </xf>
    <xf numFmtId="0" fontId="4" fillId="0" borderId="35" xfId="0" applyFont="1" applyBorder="1"/>
    <xf numFmtId="0" fontId="4" fillId="0" borderId="25" xfId="0" applyFont="1" applyBorder="1"/>
    <xf numFmtId="0" fontId="4" fillId="0" borderId="0" xfId="0" applyFont="1" applyBorder="1" applyAlignment="1">
      <alignment horizontal="left"/>
    </xf>
    <xf numFmtId="166" fontId="7" fillId="10" borderId="0" xfId="0" applyNumberFormat="1" applyFont="1" applyFill="1" applyBorder="1"/>
    <xf numFmtId="2" fontId="0" fillId="18" borderId="0" xfId="0" applyNumberFormat="1" applyFill="1" applyBorder="1"/>
    <xf numFmtId="1" fontId="0" fillId="10" borderId="0" xfId="0" applyNumberFormat="1" applyFill="1" applyBorder="1"/>
    <xf numFmtId="0" fontId="3" fillId="0" borderId="35" xfId="0" applyFont="1" applyFill="1" applyBorder="1"/>
    <xf numFmtId="0" fontId="3" fillId="0" borderId="24" xfId="0" applyFont="1" applyBorder="1"/>
    <xf numFmtId="0" fontId="7" fillId="0" borderId="25" xfId="0" applyFont="1" applyFill="1" applyBorder="1"/>
    <xf numFmtId="167" fontId="0" fillId="0" borderId="0" xfId="0" applyNumberFormat="1" applyFill="1" applyBorder="1"/>
    <xf numFmtId="0" fontId="4" fillId="0" borderId="45" xfId="0" applyFont="1" applyFill="1" applyBorder="1"/>
    <xf numFmtId="0" fontId="0" fillId="20" borderId="0" xfId="0" applyFill="1" applyBorder="1"/>
    <xf numFmtId="0" fontId="3" fillId="0" borderId="0" xfId="4"/>
    <xf numFmtId="0" fontId="3" fillId="0" borderId="11" xfId="4" applyBorder="1"/>
    <xf numFmtId="2" fontId="3" fillId="0" borderId="0" xfId="4" applyNumberFormat="1"/>
    <xf numFmtId="166" fontId="0" fillId="0" borderId="0" xfId="0" applyNumberFormat="1"/>
    <xf numFmtId="1" fontId="7" fillId="10" borderId="0" xfId="0" applyNumberFormat="1" applyFont="1" applyFill="1" applyBorder="1"/>
    <xf numFmtId="0" fontId="3" fillId="0" borderId="49" xfId="0" applyFont="1" applyBorder="1"/>
    <xf numFmtId="166" fontId="3" fillId="0" borderId="50" xfId="0" applyNumberFormat="1" applyFont="1" applyFill="1" applyBorder="1"/>
    <xf numFmtId="11" fontId="7" fillId="0" borderId="50" xfId="0" applyNumberFormat="1" applyFont="1" applyBorder="1"/>
    <xf numFmtId="0" fontId="53" fillId="0" borderId="50" xfId="0" applyFont="1" applyBorder="1"/>
    <xf numFmtId="0" fontId="49" fillId="0" borderId="0" xfId="0" applyFont="1"/>
    <xf numFmtId="0" fontId="0" fillId="0" borderId="39" xfId="0" applyBorder="1"/>
    <xf numFmtId="0" fontId="50" fillId="0" borderId="0" xfId="0" applyFont="1"/>
    <xf numFmtId="0" fontId="48" fillId="0" borderId="0" xfId="0" applyFont="1" applyFill="1" applyBorder="1"/>
    <xf numFmtId="165" fontId="7" fillId="10" borderId="0" xfId="0" applyNumberFormat="1" applyFont="1" applyFill="1" applyBorder="1"/>
    <xf numFmtId="0" fontId="0" fillId="20" borderId="0" xfId="0" applyFill="1" applyBorder="1" applyAlignment="1">
      <alignment horizontal="right"/>
    </xf>
    <xf numFmtId="166" fontId="27" fillId="18" borderId="0" xfId="0" applyNumberFormat="1" applyFont="1" applyFill="1" applyBorder="1"/>
    <xf numFmtId="0" fontId="0" fillId="19" borderId="0" xfId="0" applyFill="1" applyBorder="1" applyAlignment="1">
      <alignment horizontal="right"/>
    </xf>
    <xf numFmtId="2" fontId="0" fillId="18" borderId="0" xfId="0" applyNumberFormat="1" applyFill="1" applyBorder="1" applyAlignment="1">
      <alignment horizontal="right"/>
    </xf>
    <xf numFmtId="0" fontId="3" fillId="0" borderId="11" xfId="4" applyFill="1" applyBorder="1"/>
    <xf numFmtId="0" fontId="3" fillId="0" borderId="0" xfId="4" applyFont="1"/>
    <xf numFmtId="166" fontId="3" fillId="0" borderId="11" xfId="4" applyNumberFormat="1" applyBorder="1"/>
    <xf numFmtId="0" fontId="0" fillId="19" borderId="0" xfId="0" applyFill="1" applyBorder="1"/>
    <xf numFmtId="2" fontId="3" fillId="0" borderId="0" xfId="0" applyNumberFormat="1" applyFont="1" applyFill="1" applyBorder="1"/>
    <xf numFmtId="0" fontId="3" fillId="20" borderId="0" xfId="0" applyFont="1" applyFill="1" applyBorder="1"/>
    <xf numFmtId="0" fontId="3" fillId="0" borderId="8" xfId="4" applyBorder="1"/>
    <xf numFmtId="176" fontId="0" fillId="10" borderId="0" xfId="0" applyNumberFormat="1" applyFill="1" applyBorder="1"/>
    <xf numFmtId="176" fontId="0" fillId="4" borderId="25" xfId="0" applyNumberFormat="1" applyFill="1" applyBorder="1"/>
    <xf numFmtId="1" fontId="3" fillId="0" borderId="0" xfId="4" applyNumberFormat="1"/>
    <xf numFmtId="0" fontId="0" fillId="0" borderId="0" xfId="0" applyNumberFormat="1" applyBorder="1"/>
    <xf numFmtId="0" fontId="0" fillId="0" borderId="0" xfId="0" applyBorder="1" applyAlignment="1"/>
    <xf numFmtId="0" fontId="15" fillId="0" borderId="33" xfId="0" applyFont="1" applyBorder="1"/>
    <xf numFmtId="0" fontId="15" fillId="0" borderId="0" xfId="0" applyFont="1" applyBorder="1"/>
    <xf numFmtId="0" fontId="54" fillId="3" borderId="43" xfId="4" applyFont="1" applyFill="1" applyBorder="1" applyAlignment="1">
      <alignment horizontal="center" vertical="center"/>
    </xf>
    <xf numFmtId="0" fontId="54" fillId="3" borderId="44" xfId="4" applyFont="1" applyFill="1" applyBorder="1" applyAlignment="1">
      <alignment horizontal="center" vertical="center"/>
    </xf>
    <xf numFmtId="11" fontId="49" fillId="0" borderId="0" xfId="0" applyNumberFormat="1" applyFont="1"/>
    <xf numFmtId="0" fontId="59" fillId="0" borderId="0" xfId="0" applyFont="1" applyFill="1" applyBorder="1"/>
    <xf numFmtId="0" fontId="3" fillId="8" borderId="35" xfId="0" applyFont="1" applyFill="1" applyBorder="1" applyAlignment="1" applyProtection="1">
      <alignment horizontal="right" vertical="center"/>
    </xf>
    <xf numFmtId="0" fontId="3" fillId="0" borderId="24" xfId="0" applyFont="1" applyFill="1" applyBorder="1"/>
    <xf numFmtId="0" fontId="3" fillId="8" borderId="39" xfId="0" applyFont="1" applyFill="1" applyBorder="1" applyAlignment="1" applyProtection="1">
      <alignment horizontal="right"/>
    </xf>
    <xf numFmtId="1" fontId="3" fillId="8" borderId="39" xfId="0" applyNumberFormat="1" applyFont="1" applyFill="1" applyBorder="1" applyProtection="1"/>
    <xf numFmtId="166" fontId="17" fillId="12" borderId="0" xfId="0" applyNumberFormat="1" applyFont="1" applyFill="1" applyBorder="1" applyProtection="1"/>
    <xf numFmtId="0" fontId="3" fillId="12" borderId="0" xfId="0" applyNumberFormat="1" applyFont="1" applyFill="1" applyBorder="1" applyAlignment="1" applyProtection="1">
      <alignment horizontal="right" vertical="center"/>
    </xf>
    <xf numFmtId="165" fontId="17" fillId="12" borderId="0" xfId="0" applyNumberFormat="1" applyFont="1" applyFill="1" applyBorder="1" applyProtection="1"/>
    <xf numFmtId="0" fontId="3" fillId="12" borderId="0" xfId="0" applyFont="1" applyFill="1" applyBorder="1" applyAlignment="1" applyProtection="1">
      <alignment vertical="center"/>
    </xf>
    <xf numFmtId="0" fontId="4" fillId="12" borderId="0" xfId="0" applyFont="1" applyFill="1" applyBorder="1" applyAlignment="1" applyProtection="1">
      <alignment vertical="center"/>
    </xf>
    <xf numFmtId="0" fontId="61" fillId="8" borderId="0" xfId="0" applyFont="1" applyFill="1" applyBorder="1" applyAlignment="1" applyProtection="1">
      <alignment horizontal="right" vertical="center"/>
    </xf>
    <xf numFmtId="165" fontId="3" fillId="0" borderId="0" xfId="4" applyNumberFormat="1"/>
    <xf numFmtId="166" fontId="3" fillId="0" borderId="0" xfId="4" applyNumberFormat="1"/>
    <xf numFmtId="164" fontId="3" fillId="0" borderId="0" xfId="4" applyNumberFormat="1"/>
    <xf numFmtId="10" fontId="3" fillId="0" borderId="0" xfId="4" applyNumberFormat="1"/>
    <xf numFmtId="0" fontId="4" fillId="4" borderId="49" xfId="4" applyFont="1" applyFill="1" applyBorder="1" applyAlignment="1"/>
    <xf numFmtId="0" fontId="7" fillId="4" borderId="35" xfId="4" applyFont="1" applyFill="1" applyBorder="1" applyAlignment="1"/>
    <xf numFmtId="165" fontId="3" fillId="4" borderId="52" xfId="4" applyNumberFormat="1" applyFill="1" applyBorder="1"/>
    <xf numFmtId="165" fontId="4" fillId="4" borderId="49" xfId="4" applyNumberFormat="1" applyFont="1" applyFill="1" applyBorder="1" applyAlignment="1"/>
    <xf numFmtId="165" fontId="7" fillId="4" borderId="50" xfId="4" applyNumberFormat="1" applyFont="1" applyFill="1" applyBorder="1" applyAlignment="1"/>
    <xf numFmtId="0" fontId="7" fillId="4" borderId="50" xfId="4" applyFont="1" applyFill="1" applyBorder="1" applyAlignment="1"/>
    <xf numFmtId="165" fontId="15" fillId="4" borderId="52" xfId="4" applyNumberFormat="1" applyFont="1" applyFill="1" applyBorder="1"/>
    <xf numFmtId="166" fontId="4" fillId="4" borderId="50" xfId="4" applyNumberFormat="1" applyFont="1" applyFill="1" applyBorder="1" applyAlignment="1">
      <alignment horizontal="left"/>
    </xf>
    <xf numFmtId="165" fontId="7" fillId="4" borderId="50" xfId="4" applyNumberFormat="1" applyFont="1" applyFill="1" applyBorder="1" applyAlignment="1">
      <alignment horizontal="center"/>
    </xf>
    <xf numFmtId="165" fontId="4" fillId="4" borderId="49" xfId="4" applyNumberFormat="1" applyFont="1" applyFill="1" applyBorder="1"/>
    <xf numFmtId="164" fontId="3" fillId="4" borderId="50" xfId="4" applyNumberFormat="1" applyFill="1" applyBorder="1"/>
    <xf numFmtId="164" fontId="3" fillId="4" borderId="52" xfId="4" applyNumberFormat="1" applyFill="1" applyBorder="1"/>
    <xf numFmtId="165" fontId="4" fillId="4" borderId="41" xfId="4" applyNumberFormat="1" applyFont="1" applyFill="1" applyBorder="1"/>
    <xf numFmtId="165" fontId="3" fillId="4" borderId="42" xfId="4" applyNumberFormat="1" applyFill="1" applyBorder="1"/>
    <xf numFmtId="165" fontId="4" fillId="4" borderId="41" xfId="4" applyNumberFormat="1" applyFont="1" applyFill="1" applyBorder="1" applyAlignment="1">
      <alignment horizontal="left"/>
    </xf>
    <xf numFmtId="165" fontId="4" fillId="4" borderId="42" xfId="4" applyNumberFormat="1" applyFont="1" applyFill="1" applyBorder="1" applyAlignment="1">
      <alignment horizontal="left"/>
    </xf>
    <xf numFmtId="165" fontId="3" fillId="4" borderId="54" xfId="4" applyNumberFormat="1" applyFill="1" applyBorder="1"/>
    <xf numFmtId="0" fontId="16" fillId="3" borderId="4" xfId="4" applyFont="1" applyFill="1" applyBorder="1" applyAlignment="1">
      <alignment vertical="center"/>
    </xf>
    <xf numFmtId="0" fontId="16" fillId="3" borderId="4" xfId="4" applyFont="1" applyFill="1" applyBorder="1" applyAlignment="1"/>
    <xf numFmtId="0" fontId="12" fillId="3" borderId="0" xfId="4" applyFont="1" applyFill="1"/>
    <xf numFmtId="0" fontId="3" fillId="3" borderId="0" xfId="4" applyFill="1"/>
    <xf numFmtId="0" fontId="4" fillId="2" borderId="5" xfId="4" applyFont="1" applyFill="1" applyBorder="1" applyAlignment="1">
      <alignment horizontal="center" vertical="center" wrapText="1"/>
    </xf>
    <xf numFmtId="0" fontId="4" fillId="2" borderId="6" xfId="4" applyFont="1" applyFill="1" applyBorder="1" applyAlignment="1">
      <alignment horizontal="center" vertical="center" wrapText="1"/>
    </xf>
    <xf numFmtId="165" fontId="4" fillId="2" borderId="7" xfId="4" applyNumberFormat="1" applyFont="1" applyFill="1" applyBorder="1" applyAlignment="1">
      <alignment horizontal="center" vertical="center" wrapText="1"/>
    </xf>
    <xf numFmtId="165" fontId="4" fillId="2" borderId="6" xfId="4" applyNumberFormat="1" applyFont="1" applyFill="1" applyBorder="1" applyAlignment="1">
      <alignment horizontal="center" vertical="center" wrapText="1"/>
    </xf>
    <xf numFmtId="1" fontId="4" fillId="2" borderId="55" xfId="4" applyNumberFormat="1" applyFont="1" applyFill="1" applyBorder="1" applyAlignment="1">
      <alignment horizontal="center" vertical="center" wrapText="1"/>
    </xf>
    <xf numFmtId="1" fontId="4" fillId="2" borderId="6" xfId="4" applyNumberFormat="1" applyFont="1" applyFill="1" applyBorder="1" applyAlignment="1">
      <alignment horizontal="center" vertical="center" wrapText="1"/>
    </xf>
    <xf numFmtId="165" fontId="4" fillId="2" borderId="5" xfId="4" applyNumberFormat="1" applyFont="1" applyFill="1" applyBorder="1" applyAlignment="1">
      <alignment horizontal="center" vertical="center" wrapText="1"/>
    </xf>
    <xf numFmtId="166" fontId="4" fillId="2" borderId="20" xfId="4" applyNumberFormat="1" applyFont="1" applyFill="1" applyBorder="1" applyAlignment="1">
      <alignment horizontal="center" vertical="center" wrapText="1"/>
    </xf>
    <xf numFmtId="164" fontId="4" fillId="2" borderId="6" xfId="4" applyNumberFormat="1" applyFont="1" applyFill="1" applyBorder="1" applyAlignment="1">
      <alignment horizontal="center" vertical="center" wrapText="1"/>
    </xf>
    <xf numFmtId="164" fontId="4" fillId="2" borderId="7" xfId="4" applyNumberFormat="1" applyFont="1" applyFill="1" applyBorder="1" applyAlignment="1">
      <alignment horizontal="center" vertical="center" wrapText="1"/>
    </xf>
    <xf numFmtId="165" fontId="4" fillId="2" borderId="19" xfId="4" applyNumberFormat="1" applyFont="1" applyFill="1" applyBorder="1" applyAlignment="1">
      <alignment horizontal="center" vertical="center" wrapText="1"/>
    </xf>
    <xf numFmtId="165" fontId="4" fillId="2" borderId="21" xfId="4" applyNumberFormat="1" applyFont="1" applyFill="1" applyBorder="1" applyAlignment="1">
      <alignment horizontal="center" vertical="center" wrapText="1"/>
    </xf>
    <xf numFmtId="165" fontId="4" fillId="2" borderId="56" xfId="4" applyNumberFormat="1" applyFont="1" applyFill="1" applyBorder="1" applyAlignment="1">
      <alignment horizontal="center" vertical="center" wrapText="1"/>
    </xf>
    <xf numFmtId="165" fontId="4" fillId="2" borderId="57" xfId="4" applyNumberFormat="1" applyFont="1" applyFill="1" applyBorder="1" applyAlignment="1">
      <alignment horizontal="center" vertical="center" wrapText="1"/>
    </xf>
    <xf numFmtId="165" fontId="4" fillId="2" borderId="58" xfId="4" applyNumberFormat="1" applyFont="1" applyFill="1" applyBorder="1" applyAlignment="1">
      <alignment horizontal="center" vertical="center" wrapText="1"/>
    </xf>
    <xf numFmtId="2" fontId="4" fillId="7" borderId="14" xfId="4" applyNumberFormat="1" applyFont="1" applyFill="1" applyBorder="1" applyAlignment="1">
      <alignment horizontal="center" vertical="center" wrapText="1"/>
    </xf>
    <xf numFmtId="0" fontId="4" fillId="2" borderId="53" xfId="4" applyFont="1" applyFill="1" applyBorder="1" applyAlignment="1">
      <alignment horizontal="center" vertical="center" wrapText="1"/>
    </xf>
    <xf numFmtId="1" fontId="4" fillId="2" borderId="0" xfId="4" quotePrefix="1" applyNumberFormat="1" applyFont="1" applyFill="1" applyBorder="1" applyAlignment="1">
      <alignment horizontal="center" vertical="center" wrapText="1"/>
    </xf>
    <xf numFmtId="0" fontId="3" fillId="0" borderId="0" xfId="4" quotePrefix="1"/>
    <xf numFmtId="0" fontId="4" fillId="2" borderId="0" xfId="4" applyFont="1" applyFill="1" applyBorder="1" applyAlignment="1">
      <alignment horizontal="center" vertical="center" wrapText="1"/>
    </xf>
    <xf numFmtId="0" fontId="4" fillId="5" borderId="8" xfId="4" applyFont="1" applyFill="1" applyBorder="1" applyAlignment="1"/>
    <xf numFmtId="0" fontId="4" fillId="5" borderId="9" xfId="4" applyFont="1" applyFill="1" applyBorder="1" applyAlignment="1"/>
    <xf numFmtId="0" fontId="4" fillId="5" borderId="10" xfId="4" applyFont="1" applyFill="1" applyBorder="1" applyAlignment="1"/>
    <xf numFmtId="0" fontId="4" fillId="5" borderId="10" xfId="4" applyFont="1" applyFill="1" applyBorder="1"/>
    <xf numFmtId="0" fontId="4" fillId="5" borderId="11" xfId="4" applyFont="1" applyFill="1" applyBorder="1"/>
    <xf numFmtId="0" fontId="4" fillId="0" borderId="0" xfId="4" applyFont="1" applyFill="1" applyBorder="1"/>
    <xf numFmtId="168" fontId="3" fillId="0" borderId="0" xfId="4" applyNumberFormat="1"/>
    <xf numFmtId="11" fontId="3" fillId="0" borderId="0" xfId="4" applyNumberFormat="1"/>
    <xf numFmtId="2" fontId="3" fillId="0" borderId="11" xfId="4" applyNumberFormat="1" applyBorder="1"/>
    <xf numFmtId="1" fontId="3" fillId="0" borderId="0" xfId="4" applyNumberFormat="1" applyFont="1" applyProtection="1">
      <protection locked="0"/>
    </xf>
    <xf numFmtId="10" fontId="3" fillId="0" borderId="0" xfId="4" applyNumberFormat="1" applyFont="1" applyProtection="1">
      <protection locked="0"/>
    </xf>
    <xf numFmtId="10" fontId="3" fillId="0" borderId="0" xfId="4" applyNumberFormat="1" applyProtection="1">
      <protection locked="0"/>
    </xf>
    <xf numFmtId="0" fontId="4" fillId="6" borderId="12" xfId="4" applyFont="1" applyFill="1" applyBorder="1"/>
    <xf numFmtId="0" fontId="3" fillId="2" borderId="11" xfId="4" applyFont="1" applyFill="1" applyBorder="1" applyProtection="1">
      <protection locked="0"/>
    </xf>
    <xf numFmtId="0" fontId="3" fillId="0" borderId="11" xfId="4" applyFont="1" applyBorder="1"/>
    <xf numFmtId="0" fontId="4" fillId="6" borderId="11" xfId="4" applyFont="1" applyFill="1" applyBorder="1"/>
    <xf numFmtId="0" fontId="3" fillId="0" borderId="11" xfId="4" applyFont="1" applyFill="1" applyBorder="1"/>
    <xf numFmtId="0" fontId="53" fillId="0" borderId="11" xfId="4" applyFont="1" applyBorder="1"/>
    <xf numFmtId="0" fontId="3" fillId="4" borderId="11" xfId="4" applyFont="1" applyFill="1" applyBorder="1"/>
    <xf numFmtId="0" fontId="3" fillId="4" borderId="11" xfId="4" applyFont="1" applyFill="1" applyBorder="1" applyProtection="1">
      <protection locked="0"/>
    </xf>
    <xf numFmtId="0" fontId="14" fillId="3" borderId="0" xfId="4" applyFont="1" applyFill="1"/>
    <xf numFmtId="0" fontId="4" fillId="5" borderId="8" xfId="4" applyFont="1" applyFill="1" applyBorder="1"/>
    <xf numFmtId="0" fontId="4" fillId="5" borderId="9" xfId="4" applyFont="1" applyFill="1" applyBorder="1"/>
    <xf numFmtId="0" fontId="4" fillId="5" borderId="15" xfId="4" applyFont="1" applyFill="1" applyBorder="1"/>
    <xf numFmtId="0" fontId="3" fillId="4" borderId="11" xfId="4" applyFill="1" applyBorder="1"/>
    <xf numFmtId="166" fontId="15" fillId="22" borderId="11" xfId="4" applyNumberFormat="1" applyFont="1" applyFill="1" applyBorder="1"/>
    <xf numFmtId="0" fontId="3" fillId="0" borderId="15" xfId="4" applyFont="1" applyBorder="1"/>
    <xf numFmtId="11" fontId="3" fillId="0" borderId="8" xfId="4" applyNumberFormat="1" applyBorder="1"/>
    <xf numFmtId="11" fontId="3" fillId="0" borderId="11" xfId="4" applyNumberFormat="1" applyBorder="1"/>
    <xf numFmtId="1" fontId="15" fillId="22" borderId="11" xfId="4" applyNumberFormat="1" applyFont="1" applyFill="1" applyBorder="1"/>
    <xf numFmtId="1" fontId="62" fillId="22" borderId="11" xfId="4" applyNumberFormat="1" applyFont="1" applyFill="1" applyBorder="1"/>
    <xf numFmtId="1" fontId="3" fillId="0" borderId="8" xfId="4" applyNumberFormat="1" applyBorder="1"/>
    <xf numFmtId="0" fontId="3" fillId="23" borderId="11" xfId="4" applyFill="1" applyBorder="1"/>
    <xf numFmtId="1" fontId="15" fillId="22" borderId="11" xfId="4" applyNumberFormat="1" applyFont="1" applyFill="1" applyBorder="1" applyProtection="1">
      <protection locked="0"/>
    </xf>
    <xf numFmtId="175" fontId="3" fillId="0" borderId="11" xfId="4" applyNumberFormat="1" applyBorder="1"/>
    <xf numFmtId="0" fontId="4" fillId="6" borderId="8" xfId="4" applyFont="1" applyFill="1" applyBorder="1"/>
    <xf numFmtId="0" fontId="4" fillId="0" borderId="0" xfId="4" applyFont="1" applyFill="1" applyBorder="1" applyAlignment="1">
      <alignment horizontal="right"/>
    </xf>
    <xf numFmtId="0" fontId="3" fillId="6" borderId="8" xfId="4" applyFill="1" applyBorder="1"/>
    <xf numFmtId="0" fontId="3" fillId="0" borderId="47" xfId="4" applyFont="1" applyFill="1" applyBorder="1"/>
    <xf numFmtId="0" fontId="53" fillId="0" borderId="15" xfId="4" applyFont="1" applyBorder="1"/>
    <xf numFmtId="0" fontId="3" fillId="6" borderId="8" xfId="4" applyFont="1" applyFill="1" applyBorder="1"/>
    <xf numFmtId="176" fontId="3" fillId="0" borderId="47" xfId="4" applyNumberFormat="1" applyFont="1" applyFill="1" applyBorder="1"/>
    <xf numFmtId="175" fontId="3" fillId="0" borderId="11" xfId="4" applyNumberFormat="1" applyFont="1" applyFill="1" applyBorder="1"/>
    <xf numFmtId="0" fontId="4" fillId="0" borderId="11" xfId="4" applyFont="1" applyFill="1" applyBorder="1"/>
    <xf numFmtId="0" fontId="4" fillId="6" borderId="48" xfId="4" applyFont="1" applyFill="1" applyBorder="1"/>
    <xf numFmtId="0" fontId="3" fillId="0" borderId="16" xfId="4" applyFont="1" applyBorder="1"/>
    <xf numFmtId="11" fontId="3" fillId="0" borderId="48" xfId="4" applyNumberFormat="1" applyBorder="1"/>
    <xf numFmtId="0" fontId="3" fillId="0" borderId="12" xfId="4" applyFont="1" applyFill="1" applyBorder="1"/>
    <xf numFmtId="0" fontId="4" fillId="5" borderId="0" xfId="4" applyFont="1" applyFill="1"/>
    <xf numFmtId="0" fontId="4" fillId="5" borderId="0" xfId="4" applyFont="1" applyFill="1" applyBorder="1"/>
    <xf numFmtId="0" fontId="4" fillId="5" borderId="14" xfId="4" applyFont="1" applyFill="1" applyBorder="1"/>
    <xf numFmtId="0" fontId="3" fillId="0" borderId="11" xfId="4" applyFont="1" applyFill="1" applyBorder="1" applyProtection="1">
      <protection locked="0"/>
    </xf>
    <xf numFmtId="0" fontId="3" fillId="6" borderId="9" xfId="4" applyFill="1" applyBorder="1"/>
    <xf numFmtId="0" fontId="3" fillId="0" borderId="47" xfId="4" applyFont="1" applyFill="1" applyBorder="1" applyProtection="1">
      <protection locked="0"/>
    </xf>
    <xf numFmtId="0" fontId="4" fillId="5" borderId="4" xfId="4" applyFont="1" applyFill="1" applyBorder="1" applyAlignment="1"/>
    <xf numFmtId="0" fontId="4" fillId="5" borderId="12" xfId="4" applyFont="1" applyFill="1" applyBorder="1"/>
    <xf numFmtId="0" fontId="3" fillId="6" borderId="11" xfId="4" applyFill="1" applyBorder="1"/>
    <xf numFmtId="0" fontId="3" fillId="0" borderId="51" xfId="4" applyFont="1" applyFill="1" applyBorder="1" applyProtection="1">
      <protection locked="0"/>
    </xf>
    <xf numFmtId="0" fontId="3" fillId="21" borderId="51" xfId="4" applyFont="1" applyFill="1" applyBorder="1" applyProtection="1">
      <protection locked="0"/>
    </xf>
    <xf numFmtId="0" fontId="3" fillId="0" borderId="0" xfId="4" applyFont="1" applyFill="1" applyBorder="1"/>
    <xf numFmtId="176" fontId="3" fillId="0" borderId="11" xfId="4" applyNumberFormat="1" applyBorder="1"/>
    <xf numFmtId="0" fontId="4" fillId="5" borderId="0" xfId="4" applyFont="1" applyFill="1" applyBorder="1" applyAlignment="1" applyProtection="1">
      <protection locked="0"/>
    </xf>
    <xf numFmtId="0" fontId="4" fillId="5" borderId="13" xfId="4" applyFont="1" applyFill="1" applyBorder="1"/>
    <xf numFmtId="0" fontId="3" fillId="6" borderId="11" xfId="4" applyFont="1" applyFill="1" applyBorder="1"/>
    <xf numFmtId="0" fontId="4" fillId="0" borderId="0" xfId="4" applyFont="1" applyAlignment="1">
      <alignment horizontal="right"/>
    </xf>
    <xf numFmtId="167" fontId="58" fillId="0" borderId="0" xfId="4" applyNumberFormat="1" applyFont="1"/>
    <xf numFmtId="0" fontId="58" fillId="0" borderId="0" xfId="4" applyFont="1"/>
    <xf numFmtId="0" fontId="48" fillId="0" borderId="0" xfId="4" applyNumberFormat="1" applyFont="1"/>
    <xf numFmtId="166" fontId="3" fillId="0" borderId="0" xfId="4" applyNumberFormat="1" applyFont="1"/>
    <xf numFmtId="165" fontId="3" fillId="0" borderId="0" xfId="4" applyNumberFormat="1" applyFont="1"/>
    <xf numFmtId="0" fontId="4" fillId="0" borderId="0" xfId="4" applyNumberFormat="1" applyFont="1"/>
    <xf numFmtId="2" fontId="4" fillId="0" borderId="0" xfId="4" applyNumberFormat="1" applyFont="1"/>
    <xf numFmtId="0" fontId="4" fillId="0" borderId="0" xfId="4" applyFont="1"/>
    <xf numFmtId="165" fontId="48" fillId="0" borderId="0" xfId="4" applyNumberFormat="1" applyFont="1"/>
    <xf numFmtId="1" fontId="4" fillId="0" borderId="0" xfId="4" applyNumberFormat="1" applyFont="1"/>
    <xf numFmtId="165" fontId="4" fillId="0" borderId="0" xfId="4" applyNumberFormat="1" applyFont="1"/>
    <xf numFmtId="1" fontId="4" fillId="0" borderId="0" xfId="4" applyNumberFormat="1" applyFont="1" applyBorder="1"/>
    <xf numFmtId="0" fontId="3" fillId="0" borderId="0" xfId="4" applyNumberFormat="1"/>
    <xf numFmtId="2" fontId="7" fillId="4" borderId="50" xfId="4" applyNumberFormat="1" applyFont="1" applyFill="1" applyBorder="1" applyAlignment="1"/>
    <xf numFmtId="2" fontId="4" fillId="2" borderId="53" xfId="4" applyNumberFormat="1" applyFont="1" applyFill="1" applyBorder="1" applyAlignment="1">
      <alignment horizontal="center" vertical="center" wrapText="1"/>
    </xf>
    <xf numFmtId="2" fontId="7" fillId="4" borderId="52" xfId="4" applyNumberFormat="1" applyFont="1" applyFill="1" applyBorder="1" applyAlignment="1"/>
    <xf numFmtId="2" fontId="4" fillId="2" borderId="18" xfId="4" applyNumberFormat="1" applyFont="1" applyFill="1" applyBorder="1" applyAlignment="1">
      <alignment horizontal="center" vertical="center" wrapText="1"/>
    </xf>
    <xf numFmtId="166" fontId="7" fillId="4" borderId="50" xfId="4" applyNumberFormat="1" applyFont="1" applyFill="1" applyBorder="1" applyAlignment="1"/>
    <xf numFmtId="166" fontId="4" fillId="2" borderId="42" xfId="4" applyNumberFormat="1" applyFont="1" applyFill="1" applyBorder="1" applyAlignment="1">
      <alignment horizontal="center" vertical="center" wrapText="1"/>
    </xf>
    <xf numFmtId="178" fontId="3" fillId="0" borderId="0" xfId="4" applyNumberFormat="1"/>
    <xf numFmtId="178" fontId="7" fillId="4" borderId="50" xfId="4" applyNumberFormat="1" applyFont="1" applyFill="1" applyBorder="1" applyAlignment="1"/>
    <xf numFmtId="178" fontId="4" fillId="2" borderId="6" xfId="4" applyNumberFormat="1" applyFont="1" applyFill="1" applyBorder="1" applyAlignment="1">
      <alignment horizontal="center" vertical="center" wrapText="1"/>
    </xf>
    <xf numFmtId="178" fontId="4" fillId="2" borderId="19" xfId="4" applyNumberFormat="1" applyFont="1" applyFill="1" applyBorder="1" applyAlignment="1">
      <alignment horizontal="center" vertical="center" wrapText="1"/>
    </xf>
    <xf numFmtId="178" fontId="4" fillId="2" borderId="41" xfId="4" applyNumberFormat="1" applyFont="1" applyFill="1" applyBorder="1" applyAlignment="1">
      <alignment horizontal="center" vertical="center" wrapText="1"/>
    </xf>
    <xf numFmtId="178" fontId="4" fillId="2" borderId="53" xfId="4" applyNumberFormat="1" applyFont="1" applyFill="1" applyBorder="1" applyAlignment="1">
      <alignment horizontal="center" vertical="center" wrapText="1"/>
    </xf>
    <xf numFmtId="178" fontId="4" fillId="2" borderId="42" xfId="4" applyNumberFormat="1" applyFont="1" applyFill="1" applyBorder="1" applyAlignment="1">
      <alignment horizontal="center" vertical="center" wrapText="1"/>
    </xf>
    <xf numFmtId="178" fontId="4" fillId="0" borderId="0" xfId="4" applyNumberFormat="1" applyFont="1"/>
    <xf numFmtId="0" fontId="0" fillId="0" borderId="0" xfId="0" applyNumberFormat="1" applyBorder="1" applyAlignment="1">
      <alignment horizontal="left"/>
    </xf>
    <xf numFmtId="2" fontId="4" fillId="2" borderId="58" xfId="4" applyNumberFormat="1" applyFont="1" applyFill="1" applyBorder="1" applyAlignment="1">
      <alignment horizontal="center" vertical="center" wrapText="1"/>
    </xf>
    <xf numFmtId="2" fontId="4" fillId="2" borderId="21" xfId="4" applyNumberFormat="1" applyFont="1" applyFill="1" applyBorder="1" applyAlignment="1">
      <alignment horizontal="center" vertical="center" wrapText="1"/>
    </xf>
    <xf numFmtId="0" fontId="4" fillId="8" borderId="0" xfId="0" applyFont="1" applyFill="1" applyBorder="1" applyAlignment="1" applyProtection="1">
      <alignment vertical="top"/>
    </xf>
    <xf numFmtId="1" fontId="3" fillId="0" borderId="47" xfId="4" applyNumberFormat="1" applyFont="1" applyFill="1" applyBorder="1"/>
    <xf numFmtId="165" fontId="4" fillId="0" borderId="0" xfId="4" applyNumberFormat="1" applyFont="1" applyFill="1" applyBorder="1"/>
    <xf numFmtId="0" fontId="0" fillId="12" borderId="0" xfId="0" applyFill="1"/>
    <xf numFmtId="0" fontId="0" fillId="12" borderId="0" xfId="0" applyFill="1" applyBorder="1"/>
    <xf numFmtId="0" fontId="0" fillId="12" borderId="0" xfId="0" applyFill="1" applyAlignment="1"/>
    <xf numFmtId="0" fontId="0" fillId="0" borderId="0" xfId="0" applyAlignment="1"/>
    <xf numFmtId="0" fontId="64" fillId="0" borderId="0" xfId="0" applyFont="1" applyFill="1"/>
    <xf numFmtId="0" fontId="0" fillId="0" borderId="0" xfId="0" applyFill="1" applyAlignment="1"/>
    <xf numFmtId="0" fontId="15" fillId="0" borderId="0" xfId="0" applyFont="1" applyFill="1"/>
    <xf numFmtId="0" fontId="62" fillId="0" borderId="0" xfId="1" applyFont="1" applyFill="1"/>
    <xf numFmtId="0" fontId="0" fillId="0" borderId="0" xfId="0" applyAlignment="1">
      <alignment horizontal="left"/>
    </xf>
    <xf numFmtId="1" fontId="15" fillId="4" borderId="0" xfId="0" applyNumberFormat="1" applyFont="1" applyFill="1" applyBorder="1" applyAlignment="1">
      <alignment horizontal="right"/>
    </xf>
    <xf numFmtId="1" fontId="49" fillId="8" borderId="0" xfId="0" applyNumberFormat="1" applyFont="1" applyFill="1" applyBorder="1" applyAlignment="1" applyProtection="1">
      <alignment horizontal="right"/>
    </xf>
    <xf numFmtId="1" fontId="0" fillId="0" borderId="0" xfId="0" applyNumberFormat="1" applyFill="1" applyBorder="1"/>
    <xf numFmtId="2" fontId="0" fillId="0" borderId="0" xfId="0" applyNumberFormat="1" applyFill="1" applyBorder="1"/>
    <xf numFmtId="0" fontId="3" fillId="8" borderId="25" xfId="0" applyFont="1" applyFill="1" applyBorder="1" applyAlignment="1" applyProtection="1">
      <alignment horizontal="right"/>
    </xf>
    <xf numFmtId="1" fontId="50" fillId="15" borderId="0" xfId="0" applyNumberFormat="1" applyFont="1" applyFill="1" applyBorder="1" applyAlignment="1" applyProtection="1">
      <alignment horizontal="right"/>
      <protection locked="0"/>
    </xf>
    <xf numFmtId="0" fontId="48" fillId="0" borderId="0" xfId="0" applyFont="1" applyBorder="1" applyAlignment="1">
      <alignment horizontal="left"/>
    </xf>
    <xf numFmtId="0" fontId="48" fillId="0" borderId="0" xfId="0" applyFont="1" applyBorder="1" applyAlignment="1">
      <alignment horizontal="right"/>
    </xf>
    <xf numFmtId="0" fontId="0" fillId="0" borderId="22" xfId="0" applyBorder="1" applyAlignment="1">
      <alignment horizontal="right"/>
    </xf>
    <xf numFmtId="0" fontId="4" fillId="0" borderId="0" xfId="0" applyFont="1" applyBorder="1" applyAlignment="1">
      <alignment horizontal="right"/>
    </xf>
    <xf numFmtId="0" fontId="48" fillId="0" borderId="0" xfId="4" applyFont="1" applyBorder="1" applyAlignment="1">
      <alignment horizontal="left"/>
    </xf>
    <xf numFmtId="0" fontId="48" fillId="0" borderId="0" xfId="0" applyFont="1" applyBorder="1" applyAlignment="1">
      <alignment horizontal="center"/>
    </xf>
    <xf numFmtId="0" fontId="21" fillId="0" borderId="49" xfId="0" applyFont="1" applyBorder="1"/>
    <xf numFmtId="0" fontId="0" fillId="0" borderId="50" xfId="0" applyBorder="1"/>
    <xf numFmtId="0" fontId="4" fillId="0" borderId="50" xfId="0" applyFont="1" applyBorder="1"/>
    <xf numFmtId="0" fontId="4" fillId="0" borderId="22" xfId="4" applyFont="1" applyBorder="1" applyAlignment="1">
      <alignment horizontal="right"/>
    </xf>
    <xf numFmtId="0" fontId="3" fillId="0" borderId="22" xfId="4" applyBorder="1" applyAlignment="1">
      <alignment horizontal="right"/>
    </xf>
    <xf numFmtId="0" fontId="3" fillId="12" borderId="49" xfId="0" applyFont="1" applyFill="1" applyBorder="1" applyProtection="1"/>
    <xf numFmtId="0" fontId="3" fillId="0" borderId="0" xfId="0" applyFont="1" applyBorder="1" applyAlignment="1">
      <alignment horizontal="left"/>
    </xf>
    <xf numFmtId="0" fontId="3" fillId="12" borderId="0" xfId="0" applyFont="1" applyFill="1" applyBorder="1"/>
    <xf numFmtId="1" fontId="3" fillId="8" borderId="25" xfId="0" applyNumberFormat="1" applyFont="1" applyFill="1" applyBorder="1" applyAlignment="1" applyProtection="1">
      <alignment horizontal="right" vertical="center"/>
    </xf>
    <xf numFmtId="0" fontId="3" fillId="8" borderId="59" xfId="0" applyFont="1" applyFill="1" applyBorder="1" applyAlignment="1" applyProtection="1">
      <alignment vertical="center"/>
    </xf>
    <xf numFmtId="0" fontId="3" fillId="8" borderId="60" xfId="0" applyFont="1" applyFill="1" applyBorder="1" applyAlignment="1" applyProtection="1">
      <alignment vertical="center"/>
    </xf>
    <xf numFmtId="0" fontId="3" fillId="8" borderId="60" xfId="0" applyFont="1" applyFill="1" applyBorder="1" applyAlignment="1" applyProtection="1">
      <alignment horizontal="right" vertical="center"/>
    </xf>
    <xf numFmtId="0" fontId="4" fillId="8" borderId="60" xfId="0" applyFont="1" applyFill="1" applyBorder="1" applyAlignment="1" applyProtection="1">
      <alignment horizontal="right" vertical="center"/>
    </xf>
    <xf numFmtId="0" fontId="3" fillId="8" borderId="60" xfId="0" applyNumberFormat="1" applyFont="1" applyFill="1" applyBorder="1" applyAlignment="1" applyProtection="1">
      <alignment horizontal="right" vertical="center"/>
    </xf>
    <xf numFmtId="0" fontId="3" fillId="8" borderId="61" xfId="0" applyFont="1" applyFill="1" applyBorder="1" applyAlignment="1" applyProtection="1">
      <alignment vertical="center"/>
    </xf>
    <xf numFmtId="0" fontId="3" fillId="0" borderId="0" xfId="0" applyFont="1" applyAlignment="1">
      <alignment horizontal="right"/>
    </xf>
    <xf numFmtId="0" fontId="66" fillId="0" borderId="22" xfId="0" applyFont="1" applyBorder="1"/>
    <xf numFmtId="0" fontId="3" fillId="15" borderId="0" xfId="0" applyFont="1" applyFill="1" applyBorder="1"/>
    <xf numFmtId="0" fontId="24" fillId="24" borderId="22" xfId="0" applyFont="1" applyFill="1" applyBorder="1" applyAlignment="1" applyProtection="1">
      <alignment horizontal="left"/>
    </xf>
    <xf numFmtId="0" fontId="24" fillId="24" borderId="0" xfId="0" applyFont="1" applyFill="1" applyBorder="1" applyAlignment="1" applyProtection="1">
      <alignment horizontal="left"/>
    </xf>
    <xf numFmtId="0" fontId="23" fillId="24" borderId="22" xfId="0" applyFont="1" applyFill="1" applyBorder="1" applyAlignment="1" applyProtection="1">
      <alignment horizontal="left" vertical="center"/>
    </xf>
    <xf numFmtId="0" fontId="23" fillId="24" borderId="0" xfId="0" applyFont="1" applyFill="1" applyBorder="1" applyAlignment="1" applyProtection="1">
      <alignment horizontal="left" vertical="center"/>
    </xf>
    <xf numFmtId="0" fontId="52" fillId="24" borderId="0" xfId="0" applyFont="1" applyFill="1" applyBorder="1" applyAlignment="1" applyProtection="1">
      <alignment horizontal="left" vertical="center"/>
    </xf>
    <xf numFmtId="0" fontId="20" fillId="24" borderId="0" xfId="0" applyFont="1" applyFill="1" applyBorder="1" applyAlignment="1" applyProtection="1">
      <alignment vertical="center"/>
    </xf>
    <xf numFmtId="0" fontId="23" fillId="24" borderId="0" xfId="0" quotePrefix="1" applyFont="1" applyFill="1" applyBorder="1" applyAlignment="1" applyProtection="1">
      <alignment vertical="center"/>
    </xf>
    <xf numFmtId="0" fontId="26" fillId="24" borderId="0" xfId="0" applyFont="1" applyFill="1" applyBorder="1" applyAlignment="1" applyProtection="1">
      <alignment vertical="center"/>
    </xf>
    <xf numFmtId="0" fontId="26" fillId="24" borderId="0" xfId="0" applyFont="1" applyFill="1" applyBorder="1" applyProtection="1"/>
    <xf numFmtId="0" fontId="17" fillId="24" borderId="0" xfId="0" applyFont="1" applyFill="1" applyBorder="1" applyProtection="1"/>
    <xf numFmtId="0" fontId="28" fillId="24" borderId="24" xfId="0" applyFont="1" applyFill="1" applyBorder="1" applyProtection="1"/>
    <xf numFmtId="0" fontId="28" fillId="24" borderId="25" xfId="0" applyFont="1" applyFill="1" applyBorder="1" applyProtection="1"/>
    <xf numFmtId="0" fontId="20" fillId="24" borderId="25" xfId="0" applyFont="1" applyFill="1" applyBorder="1" applyProtection="1"/>
    <xf numFmtId="0" fontId="25" fillId="24" borderId="25" xfId="0" applyFont="1" applyFill="1" applyBorder="1" applyProtection="1"/>
    <xf numFmtId="0" fontId="67" fillId="24" borderId="0" xfId="3" applyFont="1" applyFill="1" applyAlignment="1" applyProtection="1"/>
    <xf numFmtId="0" fontId="67" fillId="24" borderId="0" xfId="3" applyFont="1" applyFill="1" applyBorder="1" applyAlignment="1" applyProtection="1">
      <alignment horizontal="left" vertical="center"/>
    </xf>
    <xf numFmtId="169" fontId="17" fillId="24" borderId="0" xfId="0" applyNumberFormat="1" applyFont="1" applyFill="1" applyBorder="1" applyAlignment="1" applyProtection="1">
      <alignment horizontal="center"/>
    </xf>
    <xf numFmtId="0" fontId="20" fillId="24" borderId="37" xfId="0" applyFont="1" applyFill="1" applyBorder="1" applyProtection="1"/>
    <xf numFmtId="0" fontId="20" fillId="24" borderId="35" xfId="0" applyFont="1" applyFill="1" applyBorder="1" applyProtection="1"/>
    <xf numFmtId="0" fontId="17" fillId="24" borderId="35" xfId="0" applyFont="1" applyFill="1" applyBorder="1" applyProtection="1"/>
    <xf numFmtId="0" fontId="4" fillId="5" borderId="48" xfId="4" applyFont="1" applyFill="1" applyBorder="1" applyAlignment="1"/>
    <xf numFmtId="166" fontId="0" fillId="10" borderId="2" xfId="0" applyNumberFormat="1" applyFill="1" applyBorder="1"/>
    <xf numFmtId="166" fontId="0" fillId="18" borderId="0" xfId="0" applyNumberFormat="1" applyFill="1" applyBorder="1"/>
    <xf numFmtId="166" fontId="27" fillId="10" borderId="0" xfId="0" applyNumberFormat="1" applyFont="1" applyFill="1" applyBorder="1"/>
    <xf numFmtId="0" fontId="3" fillId="8" borderId="62" xfId="0" applyFont="1" applyFill="1" applyBorder="1" applyProtection="1"/>
    <xf numFmtId="0" fontId="3" fillId="8" borderId="63" xfId="0" applyFont="1" applyFill="1" applyBorder="1" applyProtection="1"/>
    <xf numFmtId="0" fontId="3" fillId="8" borderId="63" xfId="0" applyFont="1" applyFill="1" applyBorder="1" applyAlignment="1" applyProtection="1">
      <alignment horizontal="right"/>
    </xf>
    <xf numFmtId="0" fontId="17" fillId="12" borderId="22" xfId="0" applyFont="1" applyFill="1" applyBorder="1" applyProtection="1"/>
    <xf numFmtId="166" fontId="27" fillId="0" borderId="0" xfId="0" applyNumberFormat="1" applyFont="1" applyFill="1" applyBorder="1"/>
    <xf numFmtId="0" fontId="50" fillId="12" borderId="61" xfId="0" applyNumberFormat="1" applyFont="1" applyFill="1" applyBorder="1" applyAlignment="1" applyProtection="1">
      <alignment vertical="center"/>
    </xf>
    <xf numFmtId="0" fontId="4" fillId="12" borderId="23" xfId="0" applyNumberFormat="1" applyFont="1" applyFill="1" applyBorder="1" applyAlignment="1" applyProtection="1">
      <alignment vertical="center"/>
    </xf>
    <xf numFmtId="1" fontId="3" fillId="0" borderId="64" xfId="0" applyNumberFormat="1" applyFont="1" applyFill="1" applyBorder="1" applyAlignment="1" applyProtection="1">
      <alignment vertical="center"/>
    </xf>
    <xf numFmtId="0" fontId="4" fillId="12" borderId="23" xfId="0" applyFont="1" applyFill="1" applyBorder="1" applyProtection="1"/>
    <xf numFmtId="0" fontId="4" fillId="12" borderId="23" xfId="0" applyFont="1" applyFill="1" applyBorder="1" applyAlignment="1" applyProtection="1">
      <alignment vertical="center"/>
    </xf>
    <xf numFmtId="0" fontId="3" fillId="12" borderId="26" xfId="0" applyFont="1" applyFill="1" applyBorder="1" applyProtection="1"/>
    <xf numFmtId="0" fontId="4" fillId="8" borderId="39" xfId="0" applyFont="1" applyFill="1" applyBorder="1" applyAlignment="1" applyProtection="1">
      <alignment horizontal="right" vertical="center"/>
    </xf>
    <xf numFmtId="0" fontId="4" fillId="15" borderId="39" xfId="0" applyNumberFormat="1" applyFont="1" applyFill="1" applyBorder="1" applyAlignment="1" applyProtection="1">
      <alignment horizontal="right" vertical="center"/>
      <protection locked="0"/>
    </xf>
    <xf numFmtId="0" fontId="4" fillId="8" borderId="26" xfId="0" applyFont="1" applyFill="1" applyBorder="1" applyAlignment="1" applyProtection="1">
      <alignment vertical="center"/>
    </xf>
    <xf numFmtId="1" fontId="3" fillId="8" borderId="0" xfId="0" applyNumberFormat="1" applyFont="1" applyFill="1" applyBorder="1" applyAlignment="1" applyProtection="1"/>
    <xf numFmtId="0" fontId="0" fillId="0" borderId="63" xfId="0" applyBorder="1"/>
    <xf numFmtId="0" fontId="4" fillId="0" borderId="0" xfId="4" applyFont="1" applyBorder="1" applyAlignment="1">
      <alignment horizontal="left"/>
    </xf>
    <xf numFmtId="0" fontId="48" fillId="0" borderId="0" xfId="4" applyFont="1" applyBorder="1" applyAlignment="1">
      <alignment horizontal="center"/>
    </xf>
    <xf numFmtId="0" fontId="48" fillId="0" borderId="0" xfId="0" applyFont="1" applyAlignment="1">
      <alignment horizontal="center"/>
    </xf>
    <xf numFmtId="0" fontId="70" fillId="0" borderId="0" xfId="4" applyFont="1" applyBorder="1" applyAlignment="1">
      <alignment horizontal="right"/>
    </xf>
    <xf numFmtId="0" fontId="70" fillId="0" borderId="22" xfId="4" applyFont="1" applyBorder="1" applyAlignment="1">
      <alignment horizontal="right"/>
    </xf>
    <xf numFmtId="0" fontId="70" fillId="0" borderId="0" xfId="0" applyFont="1" applyAlignment="1">
      <alignment horizontal="right"/>
    </xf>
    <xf numFmtId="0" fontId="70" fillId="0" borderId="0" xfId="0" applyFont="1" applyBorder="1" applyAlignment="1">
      <alignment horizontal="right"/>
    </xf>
    <xf numFmtId="0" fontId="66" fillId="0" borderId="0" xfId="0" applyFont="1"/>
    <xf numFmtId="165" fontId="7" fillId="4" borderId="63" xfId="4" applyNumberFormat="1" applyFont="1" applyFill="1" applyBorder="1" applyAlignment="1"/>
    <xf numFmtId="167" fontId="3" fillId="0" borderId="0" xfId="4" applyNumberFormat="1"/>
    <xf numFmtId="0" fontId="4" fillId="2" borderId="20" xfId="4" applyFont="1" applyFill="1" applyBorder="1" applyAlignment="1">
      <alignment horizontal="center" vertical="center" wrapText="1"/>
    </xf>
    <xf numFmtId="0" fontId="48" fillId="0" borderId="0" xfId="0" applyFont="1"/>
    <xf numFmtId="2" fontId="4" fillId="2" borderId="56" xfId="4" applyNumberFormat="1" applyFont="1" applyFill="1" applyBorder="1" applyAlignment="1">
      <alignment horizontal="center" vertical="center" wrapText="1"/>
    </xf>
    <xf numFmtId="2" fontId="4" fillId="2" borderId="57" xfId="4" applyNumberFormat="1" applyFont="1" applyFill="1" applyBorder="1" applyAlignment="1">
      <alignment horizontal="center" vertical="center" wrapText="1"/>
    </xf>
    <xf numFmtId="2" fontId="7" fillId="4" borderId="41" xfId="4" applyNumberFormat="1" applyFont="1" applyFill="1" applyBorder="1" applyAlignment="1"/>
    <xf numFmtId="2" fontId="7" fillId="4" borderId="67" xfId="4" applyNumberFormat="1" applyFont="1" applyFill="1" applyBorder="1" applyAlignment="1"/>
    <xf numFmtId="2" fontId="7" fillId="4" borderId="18" xfId="4" applyNumberFormat="1" applyFont="1" applyFill="1" applyBorder="1" applyAlignment="1"/>
    <xf numFmtId="165" fontId="4" fillId="4" borderId="41" xfId="4" applyNumberFormat="1" applyFont="1" applyFill="1" applyBorder="1" applyAlignment="1"/>
    <xf numFmtId="165" fontId="3" fillId="4" borderId="67" xfId="4" applyNumberFormat="1" applyFill="1" applyBorder="1"/>
    <xf numFmtId="0" fontId="3" fillId="8" borderId="23" xfId="0" applyFont="1" applyFill="1" applyBorder="1" applyAlignment="1" applyProtection="1"/>
    <xf numFmtId="0" fontId="3" fillId="8" borderId="62" xfId="0" applyFont="1" applyFill="1" applyBorder="1" applyAlignment="1" applyProtection="1">
      <alignment vertical="center"/>
    </xf>
    <xf numFmtId="0" fontId="22" fillId="8" borderId="24" xfId="0" applyFont="1" applyFill="1" applyBorder="1" applyAlignment="1" applyProtection="1">
      <alignment vertical="center"/>
    </xf>
    <xf numFmtId="181" fontId="3" fillId="17" borderId="11" xfId="4" applyNumberFormat="1" applyFill="1" applyBorder="1" applyAlignment="1">
      <alignment horizontal="center" vertical="center"/>
    </xf>
    <xf numFmtId="164" fontId="3" fillId="0" borderId="0" xfId="7" applyNumberFormat="1" applyFont="1"/>
    <xf numFmtId="0" fontId="3" fillId="0" borderId="0" xfId="0" quotePrefix="1" applyFont="1"/>
    <xf numFmtId="0" fontId="48" fillId="0" borderId="0" xfId="0" applyFont="1" applyAlignment="1">
      <alignment horizontal="left"/>
    </xf>
    <xf numFmtId="0" fontId="4" fillId="8" borderId="11" xfId="4" applyFont="1" applyFill="1" applyBorder="1" applyAlignment="1">
      <alignment horizontal="center" vertical="center"/>
    </xf>
    <xf numFmtId="167" fontId="0" fillId="0" borderId="0" xfId="0" applyNumberFormat="1"/>
    <xf numFmtId="0" fontId="3" fillId="8" borderId="0" xfId="4" applyFill="1" applyAlignment="1">
      <alignment horizontal="left"/>
    </xf>
    <xf numFmtId="49" fontId="3" fillId="8" borderId="0" xfId="4" applyNumberFormat="1" applyFill="1" applyAlignment="1">
      <alignment horizontal="left"/>
    </xf>
    <xf numFmtId="0" fontId="3" fillId="8" borderId="0" xfId="4" applyFill="1" applyAlignment="1">
      <alignment horizontal="left" vertical="center"/>
    </xf>
    <xf numFmtId="0" fontId="4" fillId="8" borderId="11" xfId="4" applyFont="1" applyFill="1" applyBorder="1" applyAlignment="1">
      <alignment vertical="center"/>
    </xf>
    <xf numFmtId="0" fontId="4" fillId="8" borderId="11" xfId="4" applyFont="1" applyFill="1" applyBorder="1" applyAlignment="1">
      <alignment vertical="center" wrapText="1"/>
    </xf>
    <xf numFmtId="0" fontId="4" fillId="8" borderId="8" xfId="4" applyFont="1" applyFill="1" applyBorder="1" applyAlignment="1">
      <alignment vertical="center"/>
    </xf>
    <xf numFmtId="0" fontId="4" fillId="8" borderId="9" xfId="4" applyFont="1" applyFill="1" applyBorder="1" applyAlignment="1">
      <alignment vertical="center"/>
    </xf>
    <xf numFmtId="0" fontId="4" fillId="8" borderId="15" xfId="4" applyFont="1" applyFill="1" applyBorder="1" applyAlignment="1">
      <alignment vertical="center"/>
    </xf>
    <xf numFmtId="0" fontId="3" fillId="12" borderId="0" xfId="4" applyFill="1" applyAlignment="1">
      <alignment horizontal="left"/>
    </xf>
    <xf numFmtId="49" fontId="3" fillId="12" borderId="0" xfId="4" applyNumberFormat="1" applyFill="1" applyAlignment="1">
      <alignment horizontal="left"/>
    </xf>
    <xf numFmtId="167" fontId="3" fillId="8" borderId="0" xfId="4" applyNumberFormat="1" applyFill="1" applyAlignment="1">
      <alignment horizontal="left"/>
    </xf>
    <xf numFmtId="0" fontId="4" fillId="8" borderId="0" xfId="4" applyFont="1" applyFill="1" applyAlignment="1">
      <alignment vertical="center"/>
    </xf>
    <xf numFmtId="167" fontId="3" fillId="8" borderId="0" xfId="4" applyNumberFormat="1" applyFill="1" applyAlignment="1">
      <alignment horizontal="right" vertical="center"/>
    </xf>
    <xf numFmtId="0" fontId="3" fillId="0" borderId="0" xfId="0" applyFont="1" applyAlignment="1">
      <alignment horizontal="left"/>
    </xf>
    <xf numFmtId="0" fontId="3" fillId="16" borderId="8" xfId="4" applyFill="1" applyBorder="1" applyAlignment="1">
      <alignment horizontal="left" vertical="center"/>
    </xf>
    <xf numFmtId="0" fontId="3" fillId="17" borderId="8" xfId="4" applyFill="1" applyBorder="1" applyAlignment="1">
      <alignment horizontal="left" vertical="center"/>
    </xf>
    <xf numFmtId="0" fontId="3" fillId="12" borderId="8" xfId="4" applyFill="1" applyBorder="1" applyAlignment="1">
      <alignment horizontal="left" vertical="center"/>
    </xf>
    <xf numFmtId="0" fontId="75" fillId="8" borderId="0" xfId="4" applyFont="1" applyFill="1"/>
    <xf numFmtId="167" fontId="75" fillId="8" borderId="0" xfId="4" applyNumberFormat="1" applyFont="1" applyFill="1" applyAlignment="1">
      <alignment horizontal="right"/>
    </xf>
    <xf numFmtId="0" fontId="75" fillId="8" borderId="0" xfId="4" applyFont="1" applyFill="1" applyAlignment="1">
      <alignment horizontal="left" vertical="center"/>
    </xf>
    <xf numFmtId="165" fontId="75" fillId="8" borderId="0" xfId="4" applyNumberFormat="1" applyFont="1" applyFill="1"/>
    <xf numFmtId="167" fontId="3" fillId="17" borderId="11" xfId="4" applyNumberFormat="1" applyFill="1" applyBorder="1" applyAlignment="1">
      <alignment horizontal="center" vertical="center"/>
    </xf>
    <xf numFmtId="167" fontId="3" fillId="8" borderId="11" xfId="4" applyNumberFormat="1" applyFill="1" applyBorder="1" applyAlignment="1">
      <alignment horizontal="center" vertical="center"/>
    </xf>
    <xf numFmtId="0" fontId="3" fillId="17" borderId="70" xfId="4" applyFill="1" applyBorder="1" applyAlignment="1">
      <alignment horizontal="center" vertical="center"/>
    </xf>
    <xf numFmtId="0" fontId="3" fillId="8" borderId="70" xfId="4" applyFill="1" applyBorder="1" applyAlignment="1">
      <alignment horizontal="center" vertical="center"/>
    </xf>
    <xf numFmtId="0" fontId="48" fillId="8" borderId="11" xfId="4" applyFont="1" applyFill="1" applyBorder="1" applyAlignment="1">
      <alignment horizontal="center" vertical="center"/>
    </xf>
    <xf numFmtId="0" fontId="59" fillId="8" borderId="0" xfId="4" applyFont="1" applyFill="1" applyAlignment="1">
      <alignment horizontal="left" vertical="center"/>
    </xf>
    <xf numFmtId="0" fontId="54" fillId="3" borderId="69" xfId="4" applyFont="1" applyFill="1" applyBorder="1" applyAlignment="1">
      <alignment horizontal="center" vertical="center"/>
    </xf>
    <xf numFmtId="49" fontId="73" fillId="14" borderId="68" xfId="4" applyNumberFormat="1" applyFont="1" applyFill="1" applyBorder="1" applyAlignment="1">
      <alignment horizontal="center" vertical="center"/>
    </xf>
    <xf numFmtId="0" fontId="73" fillId="14" borderId="47" xfId="4" applyFont="1" applyFill="1" applyBorder="1" applyAlignment="1">
      <alignment horizontal="center" vertical="center"/>
    </xf>
    <xf numFmtId="167" fontId="76" fillId="0" borderId="0" xfId="4" applyNumberFormat="1" applyFont="1" applyFill="1" applyAlignment="1">
      <alignment horizontal="right" vertical="center"/>
    </xf>
    <xf numFmtId="165" fontId="76" fillId="8" borderId="0" xfId="4" applyNumberFormat="1" applyFont="1" applyFill="1" applyAlignment="1">
      <alignment vertical="center"/>
    </xf>
    <xf numFmtId="49" fontId="59" fillId="8" borderId="0" xfId="4" applyNumberFormat="1" applyFont="1" applyFill="1" applyAlignment="1" applyProtection="1">
      <alignment horizontal="left" vertical="center"/>
      <protection locked="0" hidden="1"/>
    </xf>
    <xf numFmtId="0" fontId="59" fillId="8" borderId="0" xfId="4" applyFont="1" applyFill="1" applyAlignment="1" applyProtection="1">
      <alignment horizontal="left" vertical="center"/>
      <protection locked="0" hidden="1"/>
    </xf>
    <xf numFmtId="0" fontId="55" fillId="12" borderId="0" xfId="0" applyFont="1" applyFill="1" applyAlignment="1"/>
    <xf numFmtId="0" fontId="59" fillId="8" borderId="0" xfId="4" applyFont="1" applyFill="1"/>
    <xf numFmtId="0" fontId="76" fillId="8" borderId="0" xfId="4" applyFont="1" applyFill="1" applyAlignment="1">
      <alignment horizontal="left"/>
    </xf>
    <xf numFmtId="0" fontId="48" fillId="0" borderId="22" xfId="0" applyFont="1" applyBorder="1"/>
    <xf numFmtId="0" fontId="17" fillId="24" borderId="0" xfId="0" applyFont="1" applyFill="1" applyProtection="1"/>
    <xf numFmtId="0" fontId="17" fillId="12" borderId="35" xfId="0" applyFont="1" applyFill="1" applyBorder="1" applyProtection="1"/>
    <xf numFmtId="169" fontId="17" fillId="12" borderId="39" xfId="0" applyNumberFormat="1" applyFont="1" applyFill="1" applyBorder="1" applyAlignment="1" applyProtection="1">
      <alignment horizontal="center"/>
    </xf>
    <xf numFmtId="0" fontId="17" fillId="12" borderId="39" xfId="0" applyFont="1" applyFill="1" applyBorder="1" applyProtection="1"/>
    <xf numFmtId="0" fontId="17" fillId="8" borderId="39" xfId="0" applyFont="1" applyFill="1" applyBorder="1" applyProtection="1"/>
    <xf numFmtId="0" fontId="17" fillId="12" borderId="36" xfId="0" applyFont="1" applyFill="1" applyBorder="1" applyProtection="1"/>
    <xf numFmtId="0" fontId="17" fillId="12" borderId="23" xfId="0" applyFont="1" applyFill="1" applyBorder="1" applyProtection="1"/>
    <xf numFmtId="0" fontId="3" fillId="8" borderId="39" xfId="0" applyFont="1" applyFill="1" applyBorder="1" applyAlignment="1" applyProtection="1">
      <alignment horizontal="right" vertical="center"/>
    </xf>
    <xf numFmtId="0" fontId="3" fillId="8" borderId="39" xfId="0" applyNumberFormat="1" applyFont="1" applyFill="1" applyBorder="1" applyAlignment="1" applyProtection="1">
      <alignment horizontal="right" vertical="center"/>
    </xf>
    <xf numFmtId="0" fontId="3" fillId="8" borderId="35" xfId="0" applyFont="1" applyFill="1" applyBorder="1" applyAlignment="1" applyProtection="1">
      <alignment vertical="center"/>
    </xf>
    <xf numFmtId="0" fontId="3" fillId="8" borderId="35" xfId="0" applyFont="1" applyFill="1" applyBorder="1" applyAlignment="1" applyProtection="1">
      <alignment horizontal="right"/>
    </xf>
    <xf numFmtId="0" fontId="3" fillId="8" borderId="35" xfId="0" applyNumberFormat="1" applyFont="1" applyFill="1" applyBorder="1" applyAlignment="1" applyProtection="1">
      <alignment horizontal="right"/>
    </xf>
    <xf numFmtId="0" fontId="3" fillId="8" borderId="35" xfId="0" applyFont="1" applyFill="1" applyBorder="1" applyAlignment="1" applyProtection="1"/>
    <xf numFmtId="0" fontId="50" fillId="8" borderId="39" xfId="0" applyFont="1" applyFill="1" applyBorder="1" applyAlignment="1" applyProtection="1">
      <alignment horizontal="right" vertical="center"/>
    </xf>
    <xf numFmtId="0" fontId="4" fillId="15" borderId="39" xfId="0" applyNumberFormat="1" applyFont="1" applyFill="1" applyBorder="1" applyAlignment="1" applyProtection="1">
      <alignment vertical="center"/>
      <protection locked="0"/>
    </xf>
    <xf numFmtId="0" fontId="4" fillId="12" borderId="26" xfId="0" applyNumberFormat="1" applyFont="1" applyFill="1" applyBorder="1" applyAlignment="1" applyProtection="1">
      <alignment vertical="center"/>
    </xf>
    <xf numFmtId="0" fontId="3" fillId="8" borderId="35" xfId="0" applyFont="1" applyFill="1" applyBorder="1" applyAlignment="1" applyProtection="1">
      <alignment horizontal="left"/>
    </xf>
    <xf numFmtId="1" fontId="49" fillId="8" borderId="25" xfId="0" applyNumberFormat="1" applyFont="1" applyFill="1" applyBorder="1" applyAlignment="1" applyProtection="1">
      <alignment horizontal="right"/>
    </xf>
    <xf numFmtId="0" fontId="3" fillId="8" borderId="36" xfId="0" applyFont="1" applyFill="1" applyBorder="1" applyAlignment="1" applyProtection="1">
      <alignment vertical="center"/>
    </xf>
    <xf numFmtId="0" fontId="60" fillId="13" borderId="35" xfId="0" applyFont="1" applyFill="1" applyBorder="1" applyAlignment="1" applyProtection="1">
      <alignment vertical="center"/>
    </xf>
    <xf numFmtId="0" fontId="17" fillId="13" borderId="35" xfId="0" applyFont="1" applyFill="1" applyBorder="1" applyProtection="1"/>
    <xf numFmtId="0" fontId="78" fillId="13" borderId="62" xfId="0" applyFont="1" applyFill="1" applyBorder="1" applyAlignment="1" applyProtection="1">
      <alignment vertical="center"/>
    </xf>
    <xf numFmtId="0" fontId="23" fillId="24" borderId="0" xfId="0" applyFont="1" applyFill="1" applyBorder="1" applyAlignment="1" applyProtection="1">
      <alignment horizontal="right" vertical="center"/>
    </xf>
    <xf numFmtId="20" fontId="0" fillId="0" borderId="0" xfId="0" applyNumberFormat="1"/>
    <xf numFmtId="166" fontId="0" fillId="0" borderId="0" xfId="0" applyNumberFormat="1" applyFill="1" applyBorder="1"/>
    <xf numFmtId="183" fontId="0" fillId="0" borderId="0" xfId="0" applyNumberFormat="1" applyBorder="1" applyAlignment="1">
      <alignment horizontal="right"/>
    </xf>
    <xf numFmtId="183" fontId="0" fillId="19" borderId="0" xfId="0" applyNumberFormat="1" applyFill="1" applyBorder="1" applyAlignment="1">
      <alignment horizontal="right"/>
    </xf>
    <xf numFmtId="0" fontId="0" fillId="0" borderId="22" xfId="0" applyBorder="1" applyAlignment="1">
      <alignment horizontal="left"/>
    </xf>
    <xf numFmtId="1" fontId="3" fillId="8" borderId="39" xfId="0" applyNumberFormat="1" applyFont="1" applyFill="1" applyBorder="1" applyAlignment="1" applyProtection="1">
      <alignment horizontal="right" vertical="center"/>
    </xf>
    <xf numFmtId="0" fontId="3" fillId="8" borderId="40" xfId="0" applyFont="1" applyFill="1" applyBorder="1" applyAlignment="1" applyProtection="1">
      <alignment vertical="center"/>
    </xf>
    <xf numFmtId="165" fontId="3" fillId="4" borderId="35" xfId="4" applyNumberFormat="1" applyFill="1" applyBorder="1"/>
    <xf numFmtId="165" fontId="3" fillId="27" borderId="0" xfId="4" applyNumberFormat="1" applyFill="1" applyAlignment="1">
      <alignment horizontal="center" vertical="center" wrapText="1"/>
    </xf>
    <xf numFmtId="9" fontId="3" fillId="0" borderId="47" xfId="4" applyNumberFormat="1" applyFont="1" applyFill="1" applyBorder="1" applyProtection="1">
      <protection locked="0"/>
    </xf>
    <xf numFmtId="165" fontId="4" fillId="26" borderId="0" xfId="4" applyNumberFormat="1" applyFont="1" applyFill="1" applyAlignment="1">
      <alignment horizontal="center" vertical="center" wrapText="1"/>
    </xf>
    <xf numFmtId="165" fontId="0" fillId="0" borderId="0" xfId="0" applyNumberFormat="1"/>
    <xf numFmtId="2" fontId="3" fillId="0" borderId="0" xfId="7" applyNumberFormat="1" applyFont="1"/>
    <xf numFmtId="2" fontId="4" fillId="0" borderId="0" xfId="0" applyNumberFormat="1" applyFont="1"/>
    <xf numFmtId="167" fontId="4" fillId="0" borderId="0" xfId="4" applyNumberFormat="1" applyFont="1"/>
    <xf numFmtId="166" fontId="4" fillId="0" borderId="0" xfId="4" applyNumberFormat="1" applyFont="1"/>
    <xf numFmtId="0" fontId="4" fillId="4" borderId="0" xfId="4" applyFont="1" applyFill="1" applyBorder="1" applyAlignment="1">
      <alignment horizontal="left"/>
    </xf>
    <xf numFmtId="2" fontId="3" fillId="0" borderId="0" xfId="0" applyNumberFormat="1" applyFont="1"/>
    <xf numFmtId="167" fontId="3" fillId="0" borderId="0" xfId="4" applyNumberFormat="1" applyFont="1"/>
    <xf numFmtId="2" fontId="3" fillId="0" borderId="0" xfId="4" applyNumberFormat="1" applyFont="1"/>
    <xf numFmtId="1" fontId="3" fillId="0" borderId="0" xfId="4" applyNumberFormat="1" applyFont="1"/>
    <xf numFmtId="166" fontId="3" fillId="0" borderId="0" xfId="0" applyNumberFormat="1" applyFont="1"/>
    <xf numFmtId="166" fontId="4" fillId="0" borderId="0" xfId="0" applyNumberFormat="1" applyFont="1"/>
    <xf numFmtId="0" fontId="4" fillId="4" borderId="35" xfId="4" applyFont="1" applyFill="1" applyBorder="1" applyAlignment="1"/>
    <xf numFmtId="167" fontId="3" fillId="0" borderId="0" xfId="7" applyNumberFormat="1" applyFont="1"/>
    <xf numFmtId="1" fontId="4" fillId="17" borderId="6" xfId="4" applyNumberFormat="1" applyFont="1" applyFill="1" applyBorder="1" applyAlignment="1">
      <alignment horizontal="center" vertical="center" wrapText="1"/>
    </xf>
    <xf numFmtId="1" fontId="4" fillId="25" borderId="55" xfId="4" applyNumberFormat="1" applyFont="1" applyFill="1" applyBorder="1" applyAlignment="1">
      <alignment horizontal="center" vertical="center" wrapText="1"/>
    </xf>
    <xf numFmtId="1" fontId="4" fillId="0" borderId="55" xfId="4" applyNumberFormat="1" applyFont="1" applyFill="1" applyBorder="1" applyAlignment="1">
      <alignment horizontal="center" vertical="center" wrapText="1"/>
    </xf>
    <xf numFmtId="1" fontId="0" fillId="0" borderId="0" xfId="0" applyNumberFormat="1"/>
    <xf numFmtId="1" fontId="4" fillId="17" borderId="55" xfId="4" applyNumberFormat="1" applyFont="1" applyFill="1" applyBorder="1" applyAlignment="1">
      <alignment horizontal="center" vertical="center" wrapText="1"/>
    </xf>
    <xf numFmtId="1" fontId="4" fillId="28" borderId="55" xfId="4" applyNumberFormat="1" applyFont="1" applyFill="1" applyBorder="1" applyAlignment="1">
      <alignment horizontal="center" vertical="center" wrapText="1"/>
    </xf>
    <xf numFmtId="1" fontId="4" fillId="12" borderId="55" xfId="4" applyNumberFormat="1" applyFont="1" applyFill="1" applyBorder="1" applyAlignment="1">
      <alignment horizontal="center" vertical="center" wrapText="1"/>
    </xf>
    <xf numFmtId="1" fontId="3" fillId="20" borderId="0" xfId="0" applyNumberFormat="1" applyFont="1" applyFill="1" applyBorder="1"/>
    <xf numFmtId="167" fontId="15" fillId="18" borderId="0" xfId="0" applyNumberFormat="1" applyFont="1" applyFill="1" applyBorder="1" applyAlignment="1">
      <alignment horizontal="right"/>
    </xf>
    <xf numFmtId="176" fontId="27" fillId="0" borderId="0" xfId="0" applyNumberFormat="1" applyFont="1" applyFill="1" applyBorder="1"/>
    <xf numFmtId="0" fontId="3" fillId="0" borderId="33" xfId="0" applyFont="1" applyBorder="1"/>
    <xf numFmtId="167" fontId="27" fillId="4" borderId="0" xfId="0" applyNumberFormat="1" applyFont="1" applyFill="1" applyBorder="1"/>
    <xf numFmtId="165" fontId="27" fillId="0" borderId="0" xfId="0" applyNumberFormat="1" applyFont="1" applyFill="1" applyBorder="1"/>
    <xf numFmtId="166" fontId="3" fillId="5" borderId="0" xfId="0" applyNumberFormat="1" applyFont="1" applyFill="1" applyBorder="1"/>
    <xf numFmtId="2" fontId="0" fillId="0" borderId="0" xfId="0" applyNumberFormat="1" applyFill="1" applyBorder="1" applyAlignment="1">
      <alignment horizontal="right"/>
    </xf>
    <xf numFmtId="1" fontId="4" fillId="2" borderId="73" xfId="4" applyNumberFormat="1" applyFont="1" applyFill="1" applyBorder="1" applyAlignment="1">
      <alignment horizontal="center" vertical="center" wrapText="1"/>
    </xf>
    <xf numFmtId="0" fontId="4" fillId="4" borderId="22" xfId="4" applyFont="1" applyFill="1" applyBorder="1" applyAlignment="1">
      <alignment horizontal="left"/>
    </xf>
    <xf numFmtId="0" fontId="4" fillId="4" borderId="74" xfId="4" applyFont="1" applyFill="1" applyBorder="1" applyAlignment="1">
      <alignment horizontal="left"/>
    </xf>
    <xf numFmtId="0" fontId="3" fillId="12" borderId="39" xfId="0" applyFont="1" applyFill="1" applyBorder="1" applyProtection="1"/>
    <xf numFmtId="0" fontId="17" fillId="12" borderId="40" xfId="0" applyFont="1" applyFill="1" applyBorder="1" applyProtection="1"/>
    <xf numFmtId="0" fontId="3" fillId="0" borderId="0" xfId="0" applyNumberFormat="1" applyFont="1"/>
    <xf numFmtId="0" fontId="79" fillId="0" borderId="0" xfId="0" applyFont="1" applyAlignment="1">
      <alignment horizontal="right"/>
    </xf>
    <xf numFmtId="1" fontId="3" fillId="0" borderId="0" xfId="0" applyNumberFormat="1" applyFont="1"/>
    <xf numFmtId="167" fontId="3" fillId="0" borderId="0" xfId="0" applyNumberFormat="1" applyFont="1"/>
    <xf numFmtId="1" fontId="50" fillId="15" borderId="0" xfId="0" applyNumberFormat="1" applyFont="1" applyFill="1" applyBorder="1" applyAlignment="1" applyProtection="1">
      <alignment horizontal="right" vertical="center"/>
      <protection locked="0"/>
    </xf>
    <xf numFmtId="0" fontId="17" fillId="12" borderId="62" xfId="0" applyFont="1" applyFill="1" applyBorder="1" applyProtection="1"/>
    <xf numFmtId="0" fontId="4" fillId="12" borderId="35" xfId="0" applyFont="1" applyFill="1" applyBorder="1" applyAlignment="1" applyProtection="1">
      <alignment horizontal="right"/>
    </xf>
    <xf numFmtId="0" fontId="4" fillId="12" borderId="64" xfId="0" applyFont="1" applyFill="1" applyBorder="1" applyProtection="1"/>
    <xf numFmtId="0" fontId="80" fillId="0" borderId="0" xfId="0" applyFont="1" applyAlignment="1">
      <alignment vertical="center" wrapText="1"/>
    </xf>
    <xf numFmtId="0" fontId="3" fillId="0" borderId="0" xfId="0" applyNumberFormat="1" applyFont="1" applyFill="1" applyBorder="1" applyAlignment="1" applyProtection="1">
      <alignment horizontal="right" vertical="center"/>
    </xf>
    <xf numFmtId="0" fontId="4" fillId="15" borderId="35" xfId="0" applyFont="1" applyFill="1" applyBorder="1" applyProtection="1">
      <protection locked="0"/>
    </xf>
    <xf numFmtId="0" fontId="0" fillId="18" borderId="0" xfId="0" applyNumberFormat="1" applyFill="1" applyBorder="1"/>
    <xf numFmtId="0" fontId="0" fillId="4" borderId="0" xfId="0" applyNumberFormat="1" applyFill="1" applyBorder="1"/>
    <xf numFmtId="0" fontId="0" fillId="23" borderId="0" xfId="0" applyNumberFormat="1" applyFill="1" applyBorder="1"/>
    <xf numFmtId="0" fontId="4" fillId="8" borderId="35" xfId="0" applyFont="1" applyFill="1" applyBorder="1" applyProtection="1"/>
    <xf numFmtId="0" fontId="3" fillId="8" borderId="35" xfId="0" applyFont="1" applyFill="1" applyBorder="1" applyProtection="1"/>
    <xf numFmtId="0" fontId="4" fillId="0" borderId="0" xfId="0" applyFont="1" applyAlignment="1">
      <alignment horizontal="left"/>
    </xf>
    <xf numFmtId="49" fontId="3" fillId="0" borderId="0" xfId="0" applyNumberFormat="1" applyFont="1" applyBorder="1" applyAlignment="1">
      <alignment horizontal="left"/>
    </xf>
    <xf numFmtId="167" fontId="49" fillId="12" borderId="35" xfId="0" applyNumberFormat="1" applyFont="1" applyFill="1" applyBorder="1" applyAlignment="1" applyProtection="1">
      <alignment vertical="center"/>
    </xf>
    <xf numFmtId="165" fontId="3" fillId="0" borderId="0" xfId="0" applyNumberFormat="1" applyFont="1"/>
    <xf numFmtId="1" fontId="4" fillId="12" borderId="0" xfId="0" applyNumberFormat="1" applyFont="1" applyFill="1" applyBorder="1" applyAlignment="1" applyProtection="1">
      <alignment vertical="center"/>
    </xf>
    <xf numFmtId="1" fontId="66" fillId="0" borderId="0" xfId="0" applyNumberFormat="1" applyFont="1" applyFill="1" applyBorder="1" applyAlignment="1" applyProtection="1">
      <alignment horizontal="right" vertical="center"/>
    </xf>
    <xf numFmtId="167" fontId="4" fillId="15" borderId="0" xfId="0" applyNumberFormat="1" applyFont="1" applyFill="1" applyBorder="1" applyAlignment="1" applyProtection="1">
      <alignment horizontal="right" vertical="center"/>
      <protection locked="0"/>
    </xf>
    <xf numFmtId="0" fontId="22" fillId="8" borderId="67" xfId="0" applyFont="1" applyFill="1" applyBorder="1" applyAlignment="1" applyProtection="1">
      <alignment vertical="center"/>
    </xf>
    <xf numFmtId="0" fontId="17" fillId="8" borderId="35" xfId="0" applyFont="1" applyFill="1" applyBorder="1" applyProtection="1"/>
    <xf numFmtId="0" fontId="45" fillId="8" borderId="75" xfId="0" applyFont="1" applyFill="1" applyBorder="1" applyProtection="1"/>
    <xf numFmtId="0" fontId="45" fillId="8" borderId="76" xfId="0" applyFont="1" applyFill="1" applyBorder="1" applyProtection="1"/>
    <xf numFmtId="0" fontId="45" fillId="8" borderId="77" xfId="0" applyFont="1" applyFill="1" applyBorder="1" applyProtection="1"/>
    <xf numFmtId="0" fontId="0" fillId="18" borderId="0" xfId="0" applyNumberFormat="1" applyFill="1"/>
    <xf numFmtId="2" fontId="4" fillId="0" borderId="0" xfId="0" applyNumberFormat="1" applyFont="1" applyBorder="1" applyAlignment="1">
      <alignment horizontal="right"/>
    </xf>
    <xf numFmtId="1" fontId="3" fillId="4" borderId="0" xfId="0" applyNumberFormat="1" applyFont="1" applyFill="1" applyBorder="1"/>
    <xf numFmtId="2" fontId="4" fillId="0" borderId="0" xfId="0" applyNumberFormat="1" applyFont="1" applyFill="1" applyBorder="1"/>
    <xf numFmtId="0" fontId="3" fillId="0" borderId="22" xfId="0" applyFont="1" applyFill="1" applyBorder="1"/>
    <xf numFmtId="2" fontId="7" fillId="0" borderId="2" xfId="0" applyNumberFormat="1" applyFont="1" applyFill="1" applyBorder="1"/>
    <xf numFmtId="166" fontId="4" fillId="0" borderId="2" xfId="0" applyNumberFormat="1" applyFont="1" applyFill="1" applyBorder="1"/>
    <xf numFmtId="0" fontId="81" fillId="0" borderId="22" xfId="0" applyFont="1" applyBorder="1"/>
    <xf numFmtId="0" fontId="48" fillId="0" borderId="0" xfId="0" applyFont="1" applyBorder="1"/>
    <xf numFmtId="0" fontId="27" fillId="18" borderId="0" xfId="0" applyNumberFormat="1" applyFont="1" applyFill="1" applyBorder="1" applyAlignment="1">
      <alignment horizontal="right"/>
    </xf>
    <xf numFmtId="179" fontId="3" fillId="16" borderId="8" xfId="4" applyNumberFormat="1" applyFill="1" applyBorder="1" applyAlignment="1">
      <alignment horizontal="left" vertical="center"/>
    </xf>
    <xf numFmtId="179" fontId="3" fillId="16" borderId="9" xfId="4" applyNumberFormat="1" applyFill="1" applyBorder="1" applyAlignment="1">
      <alignment horizontal="left" vertical="center"/>
    </xf>
    <xf numFmtId="0" fontId="3" fillId="8" borderId="0" xfId="0" applyFont="1" applyFill="1" applyBorder="1" applyAlignment="1" applyProtection="1">
      <alignment horizontal="right" vertical="top"/>
    </xf>
    <xf numFmtId="0" fontId="3" fillId="8" borderId="38" xfId="0" applyFont="1" applyFill="1" applyBorder="1" applyAlignment="1" applyProtection="1">
      <alignment horizontal="right"/>
    </xf>
    <xf numFmtId="0" fontId="48" fillId="0" borderId="0" xfId="0" applyFont="1" applyAlignment="1">
      <alignment horizontal="right"/>
    </xf>
    <xf numFmtId="0" fontId="4" fillId="2" borderId="19" xfId="4" applyFont="1" applyFill="1" applyBorder="1" applyAlignment="1">
      <alignment horizontal="center" vertical="center" wrapText="1"/>
    </xf>
    <xf numFmtId="165" fontId="4" fillId="26" borderId="19" xfId="4" applyNumberFormat="1" applyFont="1" applyFill="1" applyBorder="1" applyAlignment="1">
      <alignment horizontal="center" vertical="center" wrapText="1"/>
    </xf>
    <xf numFmtId="165" fontId="4" fillId="26" borderId="20" xfId="4" applyNumberFormat="1" applyFont="1" applyFill="1" applyBorder="1" applyAlignment="1">
      <alignment horizontal="center" vertical="center" wrapText="1"/>
    </xf>
    <xf numFmtId="165" fontId="4" fillId="26" borderId="73" xfId="4" applyNumberFormat="1" applyFont="1" applyFill="1" applyBorder="1" applyAlignment="1">
      <alignment horizontal="center" vertical="center" wrapText="1"/>
    </xf>
    <xf numFmtId="165" fontId="4" fillId="26" borderId="39" xfId="4" applyNumberFormat="1" applyFont="1" applyFill="1" applyBorder="1" applyAlignment="1">
      <alignment horizontal="center" vertical="center" wrapText="1"/>
    </xf>
    <xf numFmtId="1" fontId="4" fillId="15" borderId="55" xfId="4" applyNumberFormat="1" applyFont="1" applyFill="1" applyBorder="1" applyAlignment="1">
      <alignment horizontal="center" vertical="center" wrapText="1"/>
    </xf>
    <xf numFmtId="1" fontId="4" fillId="15" borderId="6" xfId="4" applyNumberFormat="1" applyFont="1" applyFill="1" applyBorder="1" applyAlignment="1">
      <alignment horizontal="center" vertical="center" wrapText="1"/>
    </xf>
    <xf numFmtId="2" fontId="48" fillId="0" borderId="0" xfId="0" applyNumberFormat="1" applyFont="1" applyAlignment="1">
      <alignment horizontal="left"/>
    </xf>
    <xf numFmtId="2" fontId="48" fillId="0" borderId="0" xfId="0" applyNumberFormat="1" applyFont="1" applyAlignment="1">
      <alignment horizontal="right"/>
    </xf>
    <xf numFmtId="166" fontId="4" fillId="0" borderId="0" xfId="0" applyNumberFormat="1" applyFont="1" applyAlignment="1">
      <alignment horizontal="right"/>
    </xf>
    <xf numFmtId="166" fontId="0" fillId="0" borderId="0" xfId="0" applyNumberFormat="1" applyAlignment="1">
      <alignment horizontal="right"/>
    </xf>
    <xf numFmtId="0" fontId="3" fillId="23" borderId="0" xfId="0" applyNumberFormat="1" applyFont="1" applyFill="1" applyBorder="1"/>
    <xf numFmtId="9" fontId="0" fillId="19" borderId="0" xfId="0" applyNumberFormat="1" applyFill="1" applyBorder="1"/>
    <xf numFmtId="172" fontId="3" fillId="12" borderId="11" xfId="4" applyNumberFormat="1" applyFill="1" applyBorder="1" applyAlignment="1">
      <alignment horizontal="center" vertical="center"/>
    </xf>
    <xf numFmtId="0" fontId="3" fillId="12" borderId="70" xfId="4" applyFill="1" applyBorder="1" applyAlignment="1">
      <alignment horizontal="center" vertical="center"/>
    </xf>
    <xf numFmtId="167" fontId="3" fillId="12" borderId="11" xfId="4" applyNumberFormat="1" applyFill="1" applyBorder="1" applyAlignment="1">
      <alignment horizontal="center" vertical="center"/>
    </xf>
    <xf numFmtId="0" fontId="59" fillId="12" borderId="0" xfId="4" applyFont="1" applyFill="1" applyAlignment="1">
      <alignment horizontal="left" vertical="center"/>
    </xf>
    <xf numFmtId="0" fontId="3" fillId="12" borderId="0" xfId="4" applyFill="1" applyAlignment="1">
      <alignment vertical="center"/>
    </xf>
    <xf numFmtId="0" fontId="59" fillId="12" borderId="0" xfId="4" applyFont="1" applyFill="1" applyAlignment="1" applyProtection="1">
      <alignment horizontal="left" vertical="center"/>
      <protection locked="0" hidden="1"/>
    </xf>
    <xf numFmtId="180" fontId="3" fillId="12" borderId="8" xfId="4" applyNumberFormat="1" applyFill="1" applyBorder="1" applyAlignment="1">
      <alignment horizontal="left" vertical="center"/>
    </xf>
    <xf numFmtId="180" fontId="3" fillId="12" borderId="9" xfId="4" applyNumberFormat="1" applyFill="1" applyBorder="1" applyAlignment="1">
      <alignment horizontal="left" vertical="center"/>
    </xf>
    <xf numFmtId="0" fontId="3" fillId="17" borderId="11" xfId="4" applyNumberFormat="1" applyFill="1" applyBorder="1" applyAlignment="1">
      <alignment horizontal="center" vertical="center"/>
    </xf>
    <xf numFmtId="1" fontId="3" fillId="12" borderId="11" xfId="4" applyNumberFormat="1" applyFill="1" applyBorder="1" applyAlignment="1">
      <alignment horizontal="center" vertical="center"/>
    </xf>
    <xf numFmtId="0" fontId="4" fillId="12" borderId="0" xfId="0" applyFont="1" applyFill="1" applyBorder="1" applyAlignment="1" applyProtection="1">
      <alignment horizontal="right"/>
    </xf>
    <xf numFmtId="166" fontId="48" fillId="0" borderId="0" xfId="0" applyNumberFormat="1" applyFont="1" applyAlignment="1">
      <alignment horizontal="left"/>
    </xf>
    <xf numFmtId="0" fontId="3" fillId="8" borderId="0" xfId="0" applyNumberFormat="1" applyFont="1" applyFill="1" applyBorder="1" applyAlignment="1" applyProtection="1"/>
    <xf numFmtId="2" fontId="7" fillId="10" borderId="0" xfId="0" applyNumberFormat="1" applyFont="1" applyFill="1" applyBorder="1"/>
    <xf numFmtId="0" fontId="3" fillId="12" borderId="64" xfId="0" applyNumberFormat="1" applyFont="1" applyFill="1" applyBorder="1" applyAlignment="1" applyProtection="1">
      <alignment vertical="center"/>
    </xf>
    <xf numFmtId="164" fontId="0" fillId="0" borderId="0" xfId="0" applyNumberFormat="1"/>
    <xf numFmtId="167" fontId="3" fillId="12" borderId="0" xfId="0" applyNumberFormat="1" applyFont="1" applyFill="1" applyAlignment="1" applyProtection="1">
      <alignment horizontal="right"/>
    </xf>
    <xf numFmtId="0" fontId="3" fillId="12" borderId="23" xfId="0" applyNumberFormat="1" applyFont="1" applyFill="1" applyBorder="1" applyAlignment="1" applyProtection="1"/>
    <xf numFmtId="0" fontId="3" fillId="12" borderId="40" xfId="0" applyNumberFormat="1" applyFont="1" applyFill="1" applyBorder="1" applyAlignment="1" applyProtection="1"/>
    <xf numFmtId="2" fontId="3" fillId="8" borderId="39" xfId="0" applyNumberFormat="1" applyFont="1" applyFill="1" applyBorder="1" applyAlignment="1" applyProtection="1">
      <alignment horizontal="right"/>
    </xf>
    <xf numFmtId="1" fontId="3" fillId="2" borderId="11" xfId="4" applyNumberFormat="1" applyFont="1" applyFill="1" applyBorder="1" applyProtection="1">
      <protection locked="0"/>
    </xf>
    <xf numFmtId="167" fontId="49" fillId="8" borderId="35" xfId="2" applyNumberFormat="1" applyFont="1" applyFill="1" applyBorder="1" applyAlignment="1" applyProtection="1">
      <alignment horizontal="right" vertical="center"/>
    </xf>
    <xf numFmtId="0" fontId="3" fillId="0" borderId="0" xfId="4" applyFill="1"/>
    <xf numFmtId="166" fontId="3" fillId="0" borderId="0" xfId="4" applyNumberFormat="1" applyFill="1"/>
    <xf numFmtId="0" fontId="49" fillId="8" borderId="0" xfId="0" applyFont="1" applyFill="1" applyBorder="1" applyAlignment="1" applyProtection="1">
      <alignment horizontal="right" vertical="center"/>
    </xf>
    <xf numFmtId="1" fontId="3" fillId="8" borderId="0" xfId="0" applyNumberFormat="1" applyFont="1" applyFill="1" applyBorder="1" applyProtection="1"/>
    <xf numFmtId="180" fontId="3" fillId="12" borderId="8" xfId="4" applyNumberFormat="1" applyFill="1" applyBorder="1" applyAlignment="1">
      <alignment horizontal="left" vertical="center"/>
    </xf>
    <xf numFmtId="180" fontId="3" fillId="12" borderId="9" xfId="4" applyNumberFormat="1" applyFill="1" applyBorder="1" applyAlignment="1">
      <alignment horizontal="left" vertical="center"/>
    </xf>
    <xf numFmtId="0" fontId="59" fillId="12" borderId="0" xfId="4" applyFont="1" applyFill="1"/>
    <xf numFmtId="0" fontId="59" fillId="8" borderId="0" xfId="4" applyFont="1" applyFill="1" applyAlignment="1" applyProtection="1">
      <alignment vertical="center"/>
      <protection locked="0" hidden="1"/>
    </xf>
    <xf numFmtId="11" fontId="3" fillId="0" borderId="11" xfId="4" applyNumberFormat="1" applyFont="1" applyFill="1" applyBorder="1" applyProtection="1">
      <protection locked="0"/>
    </xf>
    <xf numFmtId="2" fontId="3" fillId="8" borderId="0" xfId="0" applyNumberFormat="1" applyFont="1" applyFill="1" applyBorder="1" applyProtection="1"/>
    <xf numFmtId="1" fontId="3" fillId="8" borderId="35" xfId="0" applyNumberFormat="1" applyFont="1" applyFill="1" applyBorder="1" applyAlignment="1" applyProtection="1">
      <alignment horizontal="right" vertical="center"/>
    </xf>
    <xf numFmtId="1" fontId="3" fillId="8" borderId="63" xfId="0" applyNumberFormat="1" applyFont="1" applyFill="1" applyBorder="1" applyAlignment="1" applyProtection="1">
      <alignment horizontal="right" vertical="center"/>
    </xf>
    <xf numFmtId="177" fontId="3" fillId="16" borderId="8" xfId="4" applyNumberFormat="1" applyFill="1" applyBorder="1" applyAlignment="1">
      <alignment horizontal="left" vertical="center"/>
    </xf>
    <xf numFmtId="177" fontId="3" fillId="16" borderId="9" xfId="4" applyNumberFormat="1" applyFill="1" applyBorder="1" applyAlignment="1">
      <alignment horizontal="left" vertical="center"/>
    </xf>
    <xf numFmtId="0" fontId="54" fillId="3" borderId="69" xfId="4" applyFont="1" applyFill="1" applyBorder="1" applyAlignment="1">
      <alignment horizontal="center" vertical="center"/>
    </xf>
    <xf numFmtId="0" fontId="54" fillId="3" borderId="71" xfId="4" applyFont="1" applyFill="1" applyBorder="1" applyAlignment="1">
      <alignment horizontal="center" vertical="center"/>
    </xf>
    <xf numFmtId="0" fontId="54" fillId="3" borderId="72" xfId="4" applyFont="1" applyFill="1" applyBorder="1" applyAlignment="1">
      <alignment horizontal="center" vertical="center"/>
    </xf>
    <xf numFmtId="182" fontId="3" fillId="17" borderId="8" xfId="4" applyNumberFormat="1" applyFill="1" applyBorder="1" applyAlignment="1">
      <alignment horizontal="left" vertical="center"/>
    </xf>
    <xf numFmtId="182" fontId="3" fillId="17" borderId="9" xfId="4" applyNumberFormat="1" applyFill="1" applyBorder="1" applyAlignment="1">
      <alignment horizontal="left" vertical="center"/>
    </xf>
    <xf numFmtId="180" fontId="3" fillId="12" borderId="8" xfId="4" applyNumberFormat="1" applyFill="1" applyBorder="1" applyAlignment="1">
      <alignment horizontal="left" vertical="center"/>
    </xf>
    <xf numFmtId="180" fontId="3" fillId="12" borderId="9" xfId="4" applyNumberFormat="1" applyFill="1" applyBorder="1" applyAlignment="1">
      <alignment horizontal="left" vertical="center"/>
    </xf>
    <xf numFmtId="174" fontId="3" fillId="12" borderId="8" xfId="4" applyNumberFormat="1" applyFill="1" applyBorder="1" applyAlignment="1">
      <alignment horizontal="left" vertical="center"/>
    </xf>
    <xf numFmtId="174" fontId="3" fillId="12" borderId="9" xfId="4" applyNumberFormat="1" applyFill="1" applyBorder="1" applyAlignment="1">
      <alignment horizontal="left" vertical="center"/>
    </xf>
    <xf numFmtId="173" fontId="3" fillId="12" borderId="8" xfId="4" applyNumberFormat="1" applyFill="1" applyBorder="1" applyAlignment="1">
      <alignment horizontal="left" vertical="center" wrapText="1"/>
    </xf>
    <xf numFmtId="173" fontId="3" fillId="12" borderId="9" xfId="4" applyNumberFormat="1" applyFill="1" applyBorder="1" applyAlignment="1">
      <alignment horizontal="left" vertical="center" wrapText="1"/>
    </xf>
    <xf numFmtId="173" fontId="3" fillId="12" borderId="15" xfId="4" applyNumberFormat="1" applyFill="1" applyBorder="1" applyAlignment="1">
      <alignment horizontal="left" vertical="center" wrapText="1"/>
    </xf>
    <xf numFmtId="180" fontId="3" fillId="17" borderId="8" xfId="4" applyNumberFormat="1" applyFill="1" applyBorder="1" applyAlignment="1">
      <alignment horizontal="left" vertical="center"/>
    </xf>
    <xf numFmtId="180" fontId="3" fillId="17" borderId="9" xfId="4" applyNumberFormat="1" applyFill="1" applyBorder="1" applyAlignment="1">
      <alignment horizontal="left" vertical="center"/>
    </xf>
    <xf numFmtId="179" fontId="3" fillId="16" borderId="8" xfId="4" applyNumberFormat="1" applyFill="1" applyBorder="1" applyAlignment="1">
      <alignment horizontal="left" vertical="center"/>
    </xf>
    <xf numFmtId="179" fontId="3" fillId="16" borderId="9" xfId="4" applyNumberFormat="1" applyFill="1" applyBorder="1" applyAlignment="1">
      <alignment horizontal="left" vertical="center"/>
    </xf>
    <xf numFmtId="174" fontId="3" fillId="17" borderId="8" xfId="4" applyNumberFormat="1" applyFill="1" applyBorder="1" applyAlignment="1">
      <alignment horizontal="left" vertical="center"/>
    </xf>
    <xf numFmtId="174" fontId="3" fillId="17" borderId="9" xfId="4" applyNumberFormat="1" applyFill="1" applyBorder="1" applyAlignment="1">
      <alignment horizontal="left" vertical="center"/>
    </xf>
    <xf numFmtId="0" fontId="40" fillId="12" borderId="22" xfId="0" applyFont="1" applyFill="1" applyBorder="1" applyAlignment="1" applyProtection="1">
      <alignment horizontal="left" vertical="center"/>
    </xf>
    <xf numFmtId="0" fontId="40" fillId="12" borderId="0" xfId="0" applyFont="1" applyFill="1" applyBorder="1" applyAlignment="1" applyProtection="1">
      <alignment horizontal="left" vertical="center"/>
    </xf>
    <xf numFmtId="0" fontId="4" fillId="0" borderId="0" xfId="0" applyFont="1" applyAlignment="1">
      <alignment horizontal="center"/>
    </xf>
    <xf numFmtId="0" fontId="5" fillId="3" borderId="0" xfId="0" applyFont="1" applyFill="1" applyAlignment="1">
      <alignment horizontal="left"/>
    </xf>
    <xf numFmtId="0" fontId="4" fillId="4" borderId="71" xfId="4" applyFont="1" applyFill="1" applyBorder="1" applyAlignment="1">
      <alignment horizontal="left"/>
    </xf>
    <xf numFmtId="0" fontId="4" fillId="4" borderId="46" xfId="4" applyFont="1" applyFill="1" applyBorder="1" applyAlignment="1">
      <alignment horizontal="left"/>
    </xf>
    <xf numFmtId="0" fontId="4" fillId="4" borderId="78" xfId="4" applyFont="1" applyFill="1" applyBorder="1" applyAlignment="1">
      <alignment horizontal="left"/>
    </xf>
    <xf numFmtId="0" fontId="4" fillId="4" borderId="66" xfId="4" applyFont="1" applyFill="1" applyBorder="1" applyAlignment="1">
      <alignment horizontal="left"/>
    </xf>
    <xf numFmtId="0" fontId="13" fillId="3" borderId="0" xfId="4" applyFont="1" applyFill="1" applyAlignment="1">
      <alignment horizontal="left" vertical="center"/>
    </xf>
    <xf numFmtId="0" fontId="23" fillId="21" borderId="0" xfId="4" applyFont="1" applyFill="1" applyBorder="1" applyAlignment="1" applyProtection="1">
      <alignment horizontal="center" vertical="center"/>
    </xf>
    <xf numFmtId="0" fontId="4" fillId="0" borderId="0" xfId="4" applyFont="1" applyAlignment="1">
      <alignment horizontal="left" vertical="center" wrapText="1"/>
    </xf>
    <xf numFmtId="0" fontId="4" fillId="4" borderId="65" xfId="4" applyFont="1" applyFill="1" applyBorder="1" applyAlignment="1">
      <alignment horizontal="left"/>
    </xf>
    <xf numFmtId="0" fontId="58" fillId="15" borderId="0" xfId="0" applyFont="1" applyFill="1"/>
    <xf numFmtId="11" fontId="0" fillId="10" borderId="0" xfId="0" applyNumberFormat="1" applyFill="1" applyBorder="1"/>
    <xf numFmtId="0" fontId="49" fillId="8" borderId="39" xfId="0" applyFont="1" applyFill="1" applyBorder="1" applyAlignment="1" applyProtection="1">
      <alignment horizontal="right" vertical="center"/>
    </xf>
    <xf numFmtId="2" fontId="3" fillId="8" borderId="39" xfId="0" applyNumberFormat="1" applyFont="1" applyFill="1" applyBorder="1" applyProtection="1"/>
    <xf numFmtId="1" fontId="3" fillId="0" borderId="36" xfId="0" applyNumberFormat="1" applyFont="1" applyFill="1" applyBorder="1" applyAlignment="1" applyProtection="1">
      <alignment vertical="center"/>
    </xf>
    <xf numFmtId="167" fontId="3" fillId="0" borderId="0" xfId="0" applyNumberFormat="1" applyFont="1" applyFill="1" applyBorder="1"/>
    <xf numFmtId="0" fontId="48" fillId="0" borderId="0" xfId="0" applyFont="1" applyAlignment="1">
      <alignment horizontal="center"/>
    </xf>
    <xf numFmtId="167" fontId="3" fillId="8" borderId="35" xfId="0" applyNumberFormat="1" applyFont="1" applyFill="1" applyBorder="1" applyAlignment="1" applyProtection="1">
      <alignment horizontal="right" vertical="center"/>
    </xf>
    <xf numFmtId="167" fontId="3" fillId="18" borderId="0" xfId="0" applyNumberFormat="1" applyFont="1" applyFill="1" applyBorder="1"/>
    <xf numFmtId="0" fontId="4" fillId="4" borderId="0" xfId="4" applyFont="1" applyFill="1" applyBorder="1" applyAlignment="1">
      <alignment horizontal="center"/>
    </xf>
    <xf numFmtId="0" fontId="4" fillId="4" borderId="4" xfId="4" applyFont="1" applyFill="1" applyBorder="1" applyAlignment="1">
      <alignment horizontal="center"/>
    </xf>
    <xf numFmtId="167" fontId="27" fillId="18" borderId="0" xfId="0" applyNumberFormat="1" applyFont="1" applyFill="1" applyBorder="1"/>
  </cellXfs>
  <cellStyles count="8">
    <cellStyle name="Comma" xfId="2" builtinId="3"/>
    <cellStyle name="Comma 2" xfId="6"/>
    <cellStyle name="Hyperlink" xfId="3" builtinId="8"/>
    <cellStyle name="Normal" xfId="0" builtinId="0"/>
    <cellStyle name="Normal 2" xfId="4"/>
    <cellStyle name="Normal 3" xfId="5"/>
    <cellStyle name="Percent" xfId="7" builtinId="5"/>
    <cellStyle name="RowLevel_1" xfId="1" builtinId="1" iLevel="0"/>
  </cellStyles>
  <dxfs count="62">
    <dxf>
      <font>
        <color rgb="FFFF0000"/>
      </font>
    </dxf>
    <dxf>
      <font>
        <color theme="0"/>
      </font>
    </dxf>
    <dxf>
      <font>
        <strike val="0"/>
        <color theme="0"/>
      </font>
      <fill>
        <patternFill>
          <bgColor rgb="FFFF0000"/>
        </patternFill>
      </fill>
    </dxf>
    <dxf>
      <font>
        <color theme="0"/>
      </font>
      <fill>
        <patternFill patternType="solid">
          <fgColor auto="1"/>
          <bgColor rgb="FFFF0000"/>
        </patternFill>
      </fill>
    </dxf>
    <dxf>
      <font>
        <color theme="0"/>
      </font>
      <fill>
        <patternFill>
          <bgColor theme="0"/>
        </patternFill>
      </fill>
    </dxf>
    <dxf>
      <font>
        <b/>
        <i val="0"/>
        <color rgb="FFFF0000"/>
      </font>
    </dxf>
    <dxf>
      <border>
        <top/>
        <bottom/>
        <vertical/>
        <horizontal/>
      </border>
    </dxf>
    <dxf>
      <border>
        <left/>
        <right/>
        <top/>
        <bottom/>
        <vertical/>
        <horizontal/>
      </border>
    </dxf>
    <dxf>
      <font>
        <color theme="0"/>
      </font>
      <fill>
        <patternFill>
          <bgColor theme="0"/>
        </patternFill>
      </fill>
      <border>
        <right/>
        <top/>
        <bottom/>
      </border>
    </dxf>
    <dxf>
      <border>
        <bottom/>
        <vertical/>
        <horizontal/>
      </border>
    </dxf>
    <dxf>
      <border>
        <bottom/>
        <vertical/>
        <horizontal/>
      </border>
    </dxf>
    <dxf>
      <border>
        <right/>
        <vertical/>
        <horizontal/>
      </border>
    </dxf>
    <dxf>
      <border>
        <bottom/>
        <vertical/>
        <horizontal/>
      </border>
    </dxf>
    <dxf>
      <font>
        <strike val="0"/>
        <color theme="0"/>
      </font>
      <fill>
        <patternFill>
          <bgColor theme="0"/>
        </patternFill>
      </fill>
    </dxf>
    <dxf>
      <font>
        <color rgb="FFFF0000"/>
      </font>
    </dxf>
    <dxf>
      <font>
        <color rgb="FFFF0000"/>
      </font>
    </dxf>
    <dxf>
      <font>
        <color rgb="FFFF0000"/>
      </font>
    </dxf>
    <dxf>
      <font>
        <color theme="0"/>
      </font>
      <fill>
        <patternFill>
          <bgColor theme="0"/>
        </patternFill>
      </fill>
    </dxf>
    <dxf>
      <font>
        <b/>
        <i val="0"/>
        <color rgb="FFC00000"/>
      </font>
    </dxf>
    <dxf>
      <font>
        <color rgb="FFFF0000"/>
      </font>
    </dxf>
    <dxf>
      <font>
        <color rgb="FFFF0000"/>
      </font>
    </dxf>
    <dxf>
      <font>
        <color rgb="FFFF0000"/>
      </font>
    </dxf>
    <dxf>
      <font>
        <b/>
        <i val="0"/>
        <color rgb="FFFF0000"/>
      </font>
    </dxf>
    <dxf>
      <font>
        <b/>
        <i val="0"/>
        <condense val="0"/>
        <extend val="0"/>
        <color indexed="12"/>
      </font>
    </dxf>
    <dxf>
      <font>
        <b/>
        <i val="0"/>
        <condense val="0"/>
        <extend val="0"/>
        <color indexed="10"/>
      </font>
    </dxf>
    <dxf>
      <font>
        <color rgb="FFFF0000"/>
      </font>
    </dxf>
    <dxf>
      <font>
        <color rgb="FFFF0000"/>
      </font>
    </dxf>
    <dxf>
      <font>
        <color rgb="FFFF0000"/>
      </font>
    </dxf>
    <dxf>
      <border>
        <right/>
        <vertical/>
        <horizontal/>
      </border>
    </dxf>
    <dxf>
      <border>
        <left/>
        <right/>
        <top/>
        <bottom/>
        <vertical/>
        <horizontal/>
      </border>
    </dxf>
    <dxf>
      <border>
        <bottom/>
        <vertical/>
        <horizontal/>
      </border>
    </dxf>
    <dxf>
      <font>
        <color rgb="FFFF0000"/>
      </font>
    </dxf>
    <dxf>
      <font>
        <color rgb="FFFF0000"/>
      </font>
    </dxf>
    <dxf>
      <font>
        <color rgb="FFFF0000"/>
      </font>
    </dxf>
    <dxf>
      <font>
        <b/>
        <i val="0"/>
        <color rgb="FFC00000"/>
      </font>
    </dxf>
    <dxf>
      <font>
        <color theme="0"/>
      </font>
      <fill>
        <patternFill>
          <bgColor theme="0"/>
        </patternFill>
      </fill>
    </dxf>
    <dxf>
      <font>
        <b/>
        <i val="0"/>
        <color rgb="FFC00000"/>
      </font>
    </dxf>
    <dxf>
      <font>
        <color theme="0"/>
      </font>
    </dxf>
    <dxf>
      <font>
        <b/>
        <i val="0"/>
        <color rgb="FFC00000"/>
      </font>
    </dxf>
    <dxf>
      <font>
        <color theme="0"/>
      </font>
      <fill>
        <patternFill>
          <bgColor theme="0"/>
        </patternFill>
      </fill>
    </dxf>
    <dxf>
      <font>
        <color theme="0"/>
      </font>
    </dxf>
    <dxf>
      <font>
        <color rgb="FFFF0000"/>
      </font>
    </dxf>
    <dxf>
      <font>
        <color rgb="FFFF0000"/>
      </font>
    </dxf>
    <dxf>
      <font>
        <color rgb="FFFF0000"/>
      </font>
    </dxf>
    <dxf>
      <font>
        <color rgb="FFFF0000"/>
      </font>
    </dxf>
    <dxf>
      <font>
        <color rgb="FFFF0000"/>
      </font>
    </dxf>
    <dxf>
      <font>
        <b/>
        <i val="0"/>
        <color rgb="FFFF0000"/>
      </font>
    </dxf>
    <dxf>
      <font>
        <b/>
        <i val="0"/>
        <condense val="0"/>
        <extend val="0"/>
        <color indexed="10"/>
      </font>
    </dxf>
    <dxf>
      <border>
        <left style="thin">
          <color indexed="64"/>
        </left>
        <right style="thin">
          <color indexed="64"/>
        </right>
        <top style="thin">
          <color indexed="64"/>
        </top>
        <bottom style="thin">
          <color indexed="64"/>
        </bottom>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font>
    </dxf>
    <dxf>
      <font>
        <color rgb="FFFFFF99"/>
      </font>
    </dxf>
    <dxf>
      <font>
        <color theme="0"/>
      </font>
    </dxf>
  </dxfs>
  <tableStyles count="0" defaultTableStyle="TableStyleMedium9" defaultPivotStyle="PivotStyleLight16"/>
  <colors>
    <mruColors>
      <color rgb="FFCCFFFF"/>
      <color rgb="FF66FFFF"/>
      <color rgb="FF00FFFF"/>
      <color rgb="FFEE6112"/>
      <color rgb="FF0000FF"/>
      <color rgb="FFFFFF99"/>
      <color rgb="FFFFFF66"/>
      <color rgb="FFFF9900"/>
      <color rgb="FF33CC33"/>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3132914835E-2"/>
          <c:y val="0.12133523343001466"/>
          <c:w val="0.80670936294253548"/>
          <c:h val="0.7558980268938309"/>
        </c:manualLayout>
      </c:layout>
      <c:lineChart>
        <c:grouping val="standard"/>
        <c:varyColors val="0"/>
        <c:ser>
          <c:idx val="1"/>
          <c:order val="0"/>
          <c:tx>
            <c:v>VIN-min</c:v>
          </c:tx>
          <c:spPr>
            <a:ln w="19050">
              <a:solidFill>
                <a:srgbClr val="00B050"/>
              </a:solidFill>
              <a:prstDash val="lgDash"/>
            </a:ln>
          </c:spPr>
          <c:marker>
            <c:symbol val="none"/>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Single'!$AN$110:$AN$210</c:f>
              <c:numCache>
                <c:formatCode>0.0</c:formatCode>
                <c:ptCount val="101"/>
                <c:pt idx="0">
                  <c:v>12</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345.94015413652079</c:v>
                </c:pt>
                <c:pt idx="56">
                  <c:v>339.76265138408286</c:v>
                </c:pt>
                <c:pt idx="57">
                  <c:v>333.8019031141867</c:v>
                </c:pt>
                <c:pt idx="58">
                  <c:v>328.04669788808013</c:v>
                </c:pt>
                <c:pt idx="59">
                  <c:v>322.48658436455332</c:v>
                </c:pt>
                <c:pt idx="60">
                  <c:v>317.11180795847747</c:v>
                </c:pt>
                <c:pt idx="61">
                  <c:v>311.91325372964997</c:v>
                </c:pt>
                <c:pt idx="62">
                  <c:v>306.8823947985266</c:v>
                </c:pt>
                <c:pt idx="63">
                  <c:v>302.01124567474045</c:v>
                </c:pt>
                <c:pt idx="64">
                  <c:v>297.29231996107256</c:v>
                </c:pt>
                <c:pt idx="65">
                  <c:v>292.71859196167151</c:v>
                </c:pt>
                <c:pt idx="66">
                  <c:v>288.2834617804341</c:v>
                </c:pt>
                <c:pt idx="67">
                  <c:v>283.98072354490517</c:v>
                </c:pt>
                <c:pt idx="68">
                  <c:v>279.80453643395066</c:v>
                </c:pt>
                <c:pt idx="69">
                  <c:v>275.74939822476307</c:v>
                </c:pt>
                <c:pt idx="70">
                  <c:v>271.81012110726641</c:v>
                </c:pt>
                <c:pt idx="71">
                  <c:v>267.98180954237534</c:v>
                </c:pt>
                <c:pt idx="72">
                  <c:v>264.25983996539793</c:v>
                </c:pt>
                <c:pt idx="73">
                  <c:v>260.63984215765271</c:v>
                </c:pt>
                <c:pt idx="74">
                  <c:v>257.11768212849523</c:v>
                </c:pt>
                <c:pt idx="75">
                  <c:v>253.68944636678188</c:v>
                </c:pt>
                <c:pt idx="76">
                  <c:v>250.35142733564004</c:v>
                </c:pt>
                <c:pt idx="77">
                  <c:v>247.1001100975148</c:v>
                </c:pt>
                <c:pt idx="78">
                  <c:v>243.93215996805955</c:v>
                </c:pt>
                <c:pt idx="79">
                  <c:v>240.8444111077043</c:v>
                </c:pt>
                <c:pt idx="80">
                  <c:v>237.83385596885805</c:v>
                </c:pt>
                <c:pt idx="81">
                  <c:v>234.89763552479809</c:v>
                </c:pt>
                <c:pt idx="82">
                  <c:v>232.03303021352008</c:v>
                </c:pt>
                <c:pt idx="83">
                  <c:v>229.23745153624881</c:v>
                </c:pt>
                <c:pt idx="84">
                  <c:v>226.50843425605535</c:v>
                </c:pt>
                <c:pt idx="85">
                  <c:v>223.84362914716053</c:v>
                </c:pt>
                <c:pt idx="86">
                  <c:v>221.24079625010057</c:v>
                </c:pt>
                <c:pt idx="87">
                  <c:v>218.69779859205343</c:v>
                </c:pt>
                <c:pt idx="88">
                  <c:v>216.21259633532551</c:v>
                </c:pt>
                <c:pt idx="89">
                  <c:v>213.78324132032188</c:v>
                </c:pt>
                <c:pt idx="90">
                  <c:v>211.4078719723183</c:v>
                </c:pt>
                <c:pt idx="91">
                  <c:v>209.08470854405107</c:v>
                </c:pt>
                <c:pt idx="92">
                  <c:v>206.81204866857223</c:v>
                </c:pt>
                <c:pt idx="93">
                  <c:v>204.58826319901766</c:v>
                </c:pt>
                <c:pt idx="94">
                  <c:v>202.41179231392175</c:v>
                </c:pt>
                <c:pt idx="95">
                  <c:v>200.28114186851204</c:v>
                </c:pt>
                <c:pt idx="96">
                  <c:v>198.19487997404835</c:v>
                </c:pt>
                <c:pt idx="97">
                  <c:v>196.15163378874891</c:v>
                </c:pt>
                <c:pt idx="98">
                  <c:v>194.15008650519025</c:v>
                </c:pt>
                <c:pt idx="99">
                  <c:v>192.18897452028935</c:v>
                </c:pt>
                <c:pt idx="100">
                  <c:v>190.26708477508643</c:v>
                </c:pt>
              </c:numCache>
            </c:numRef>
          </c:val>
          <c:smooth val="0"/>
        </c:ser>
        <c:ser>
          <c:idx val="0"/>
          <c:order val="1"/>
          <c:tx>
            <c:v>VIN-nom</c:v>
          </c:tx>
          <c:spPr>
            <a:ln w="19050">
              <a:solidFill>
                <a:srgbClr val="FF0000"/>
              </a:solidFill>
              <a:prstDash val="lgDash"/>
            </a:ln>
          </c:spPr>
          <c:marker>
            <c:symbol val="none"/>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Single'!$AN$5:$AN$105</c:f>
              <c:numCache>
                <c:formatCode>0.0</c:formatCode>
                <c:ptCount val="101"/>
                <c:pt idx="0">
                  <c:v>12</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347.08056691252716</c:v>
                </c:pt>
                <c:pt idx="85">
                  <c:v>342.99726612532089</c:v>
                </c:pt>
                <c:pt idx="86">
                  <c:v>339.00892582153801</c:v>
                </c:pt>
                <c:pt idx="87">
                  <c:v>335.11227150175034</c:v>
                </c:pt>
                <c:pt idx="88">
                  <c:v>331.30417750741219</c:v>
                </c:pt>
                <c:pt idx="89">
                  <c:v>327.58165865901435</c:v>
                </c:pt>
                <c:pt idx="90">
                  <c:v>323.94186245169192</c:v>
                </c:pt>
                <c:pt idx="91">
                  <c:v>320.38206176540962</c:v>
                </c:pt>
                <c:pt idx="92">
                  <c:v>316.8996480505682</c:v>
                </c:pt>
                <c:pt idx="93">
                  <c:v>313.49212495325025</c:v>
                </c:pt>
                <c:pt idx="94">
                  <c:v>310.15710234736463</c:v>
                </c:pt>
                <c:pt idx="95">
                  <c:v>306.89229074370803</c:v>
                </c:pt>
                <c:pt idx="96">
                  <c:v>303.69549604846117</c:v>
                </c:pt>
                <c:pt idx="97">
                  <c:v>300.56461464589967</c:v>
                </c:pt>
                <c:pt idx="98">
                  <c:v>297.49762878216609</c:v>
                </c:pt>
                <c:pt idx="99">
                  <c:v>294.49260222881082</c:v>
                </c:pt>
                <c:pt idx="100">
                  <c:v>291.54767620652274</c:v>
                </c:pt>
              </c:numCache>
            </c:numRef>
          </c:val>
          <c:smooth val="0"/>
        </c:ser>
        <c:ser>
          <c:idx val="2"/>
          <c:order val="2"/>
          <c:tx>
            <c:v>VIN-max</c:v>
          </c:tx>
          <c:spPr>
            <a:ln w="19050">
              <a:solidFill>
                <a:srgbClr val="0000FF"/>
              </a:solidFill>
              <a:prstDash val="lgDash"/>
            </a:ln>
          </c:spPr>
          <c:marker>
            <c:symbol val="none"/>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Single'!$AN$217:$AN$317</c:f>
              <c:numCache>
                <c:formatCode>0.0</c:formatCode>
                <c:ptCount val="101"/>
                <c:pt idx="0">
                  <c:v>12</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Single'!$CD$110:$CD$210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Single'!$CD$5:$CD$105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Single'!$CD$217:$CD$317</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139924992"/>
        <c:axId val="139926912"/>
      </c:lineChart>
      <c:lineChart>
        <c:grouping val="standard"/>
        <c:varyColors val="0"/>
        <c:ser>
          <c:idx val="6"/>
          <c:order val="6"/>
          <c:spPr>
            <a:ln w="31750">
              <a:solidFill>
                <a:srgbClr val="FF0000"/>
              </a:solidFill>
            </a:ln>
          </c:spPr>
          <c:marker>
            <c:symbol val="none"/>
          </c:marker>
          <c:val>
            <c:numRef>
              <c:f>'Calculations - Single'!$AW$5:$AW$105</c:f>
              <c:numCache>
                <c:formatCode>0.000</c:formatCode>
                <c:ptCount val="101"/>
                <c:pt idx="0">
                  <c:v>5.1022222222222215E-3</c:v>
                </c:pt>
                <c:pt idx="1">
                  <c:v>1.7705510388437217E-2</c:v>
                </c:pt>
                <c:pt idx="2">
                  <c:v>3.5411020776874434E-2</c:v>
                </c:pt>
                <c:pt idx="3">
                  <c:v>5.3116531165311669E-2</c:v>
                </c:pt>
                <c:pt idx="4">
                  <c:v>7.0822041553748868E-2</c:v>
                </c:pt>
                <c:pt idx="5">
                  <c:v>8.8527551942186117E-2</c:v>
                </c:pt>
                <c:pt idx="6">
                  <c:v>0.10623306233062334</c:v>
                </c:pt>
                <c:pt idx="7">
                  <c:v>0.12393857271906054</c:v>
                </c:pt>
                <c:pt idx="8">
                  <c:v>0.1417792809456031</c:v>
                </c:pt>
                <c:pt idx="9">
                  <c:v>0.15799260557951364</c:v>
                </c:pt>
                <c:pt idx="10">
                  <c:v>0.16653882903196338</c:v>
                </c:pt>
                <c:pt idx="11">
                  <c:v>0.17466739745261931</c:v>
                </c:pt>
                <c:pt idx="12">
                  <c:v>0.18243414672260516</c:v>
                </c:pt>
                <c:pt idx="13">
                  <c:v>0.18988348018703152</c:v>
                </c:pt>
                <c:pt idx="14">
                  <c:v>0.19705139990741635</c:v>
                </c:pt>
                <c:pt idx="15">
                  <c:v>0.20396757674445778</c:v>
                </c:pt>
                <c:pt idx="16">
                  <c:v>0.21065680743935156</c:v>
                </c:pt>
                <c:pt idx="17">
                  <c:v>0.21714006695696161</c:v>
                </c:pt>
                <c:pt idx="18">
                  <c:v>0.22343528556521133</c:v>
                </c:pt>
                <c:pt idx="19">
                  <c:v>0.22955793384926015</c:v>
                </c:pt>
                <c:pt idx="20">
                  <c:v>0.23552147067873674</c:v>
                </c:pt>
                <c:pt idx="21">
                  <c:v>0.24133769143714129</c:v>
                </c:pt>
                <c:pt idx="22">
                  <c:v>0.24701700238190602</c:v>
                </c:pt>
                <c:pt idx="23">
                  <c:v>0.25256863942951491</c:v>
                </c:pt>
                <c:pt idx="24">
                  <c:v>0.25800084453507138</c:v>
                </c:pt>
                <c:pt idx="25">
                  <c:v>0.26332100929918939</c:v>
                </c:pt>
                <c:pt idx="26">
                  <c:v>0.26853579295110286</c:v>
                </c:pt>
                <c:pt idx="27">
                  <c:v>0.27365122008390769</c:v>
                </c:pt>
                <c:pt idx="28">
                  <c:v>0.27867276223367266</c:v>
                </c:pt>
                <c:pt idx="29">
                  <c:v>0.28360540645142646</c:v>
                </c:pt>
                <c:pt idx="30">
                  <c:v>0.28845371331638731</c:v>
                </c:pt>
                <c:pt idx="31">
                  <c:v>0.29322186631209196</c:v>
                </c:pt>
                <c:pt idx="32">
                  <c:v>0.29791371408694844</c:v>
                </c:pt>
                <c:pt idx="33">
                  <c:v>0.30253280681376332</c:v>
                </c:pt>
                <c:pt idx="34">
                  <c:v>0.3070824276251371</c:v>
                </c:pt>
                <c:pt idx="35">
                  <c:v>0.31156561991606407</c:v>
                </c:pt>
                <c:pt idx="36">
                  <c:v>0.31598521115902728</c:v>
                </c:pt>
                <c:pt idx="37">
                  <c:v>0.32034383376108366</c:v>
                </c:pt>
                <c:pt idx="38">
                  <c:v>0.32464394339996955</c:v>
                </c:pt>
                <c:pt idx="39">
                  <c:v>0.32888783520193682</c:v>
                </c:pt>
                <c:pt idx="40">
                  <c:v>0.33307765806392675</c:v>
                </c:pt>
                <c:pt idx="41">
                  <c:v>0.33721542737378413</c:v>
                </c:pt>
                <c:pt idx="42">
                  <c:v>0.34130303634221831</c:v>
                </c:pt>
                <c:pt idx="43">
                  <c:v>0.345342266127318</c:v>
                </c:pt>
                <c:pt idx="44">
                  <c:v>0.34933479490523861</c:v>
                </c:pt>
                <c:pt idx="45">
                  <c:v>0.35328220601810512</c:v>
                </c:pt>
                <c:pt idx="46">
                  <c:v>0.35718599531133999</c:v>
                </c:pt>
                <c:pt idx="47">
                  <c:v>0.36104757775684682</c:v>
                </c:pt>
                <c:pt idx="48">
                  <c:v>0.36486829344521032</c:v>
                </c:pt>
                <c:pt idx="49">
                  <c:v>0.36864941301886511</c:v>
                </c:pt>
                <c:pt idx="50">
                  <c:v>0.37239214260868558</c:v>
                </c:pt>
                <c:pt idx="51">
                  <c:v>0.37609762832836552</c:v>
                </c:pt>
                <c:pt idx="52">
                  <c:v>0.37976696037406305</c:v>
                </c:pt>
                <c:pt idx="53">
                  <c:v>0.38340117677087132</c:v>
                </c:pt>
                <c:pt idx="54">
                  <c:v>0.38700126680260705</c:v>
                </c:pt>
                <c:pt idx="55">
                  <c:v>0.39056817415703043</c:v>
                </c:pt>
                <c:pt idx="56">
                  <c:v>0.3941027998148327</c:v>
                </c:pt>
                <c:pt idx="57">
                  <c:v>0.39760600470745389</c:v>
                </c:pt>
                <c:pt idx="58">
                  <c:v>0.40107861216594137</c:v>
                </c:pt>
                <c:pt idx="59">
                  <c:v>0.40452141018058785</c:v>
                </c:pt>
                <c:pt idx="60">
                  <c:v>0.40793515348891557</c:v>
                </c:pt>
                <c:pt idx="61">
                  <c:v>0.41132056550768148</c:v>
                </c:pt>
                <c:pt idx="62">
                  <c:v>0.41467834012291099</c:v>
                </c:pt>
                <c:pt idx="63">
                  <c:v>0.41800914335050893</c:v>
                </c:pt>
                <c:pt idx="64">
                  <c:v>0.42131361487870311</c:v>
                </c:pt>
                <c:pt idx="65">
                  <c:v>0.42459236950243678</c:v>
                </c:pt>
                <c:pt idx="66">
                  <c:v>0.42784599845882354</c:v>
                </c:pt>
                <c:pt idx="67">
                  <c:v>0.43107507067187428</c:v>
                </c:pt>
                <c:pt idx="68">
                  <c:v>0.43428013391392323</c:v>
                </c:pt>
                <c:pt idx="69">
                  <c:v>0.43746171589046384</c:v>
                </c:pt>
                <c:pt idx="70">
                  <c:v>0.44062032525447875</c:v>
                </c:pt>
                <c:pt idx="71">
                  <c:v>0.443756452555787</c:v>
                </c:pt>
                <c:pt idx="72">
                  <c:v>0.44687057113042267</c:v>
                </c:pt>
                <c:pt idx="73">
                  <c:v>0.4499631379346134</c:v>
                </c:pt>
                <c:pt idx="74">
                  <c:v>0.4530345943275168</c:v>
                </c:pt>
                <c:pt idx="75">
                  <c:v>0.4560853668065129</c:v>
                </c:pt>
                <c:pt idx="76">
                  <c:v>0.45911586769852031</c:v>
                </c:pt>
                <c:pt idx="77">
                  <c:v>0.46212649581050752</c:v>
                </c:pt>
                <c:pt idx="78">
                  <c:v>0.46511763704210651</c:v>
                </c:pt>
                <c:pt idx="79">
                  <c:v>0.46808966496299237</c:v>
                </c:pt>
                <c:pt idx="80">
                  <c:v>0.47104294135747349</c:v>
                </c:pt>
                <c:pt idx="81">
                  <c:v>0.47397781673854106</c:v>
                </c:pt>
                <c:pt idx="82">
                  <c:v>0.47689463083344485</c:v>
                </c:pt>
                <c:pt idx="83">
                  <c:v>0.47979371304270063</c:v>
                </c:pt>
                <c:pt idx="84">
                  <c:v>0.47864927292207743</c:v>
                </c:pt>
                <c:pt idx="85">
                  <c:v>0.47582535876074133</c:v>
                </c:pt>
                <c:pt idx="86">
                  <c:v>0.47572815533980584</c:v>
                </c:pt>
                <c:pt idx="87">
                  <c:v>0.47572815533980589</c:v>
                </c:pt>
                <c:pt idx="88">
                  <c:v>0.47572815533980584</c:v>
                </c:pt>
                <c:pt idx="89">
                  <c:v>0.47572815533980589</c:v>
                </c:pt>
                <c:pt idx="90">
                  <c:v>0.47572815533980578</c:v>
                </c:pt>
                <c:pt idx="91">
                  <c:v>0.47572815533980584</c:v>
                </c:pt>
                <c:pt idx="92">
                  <c:v>0.47572815533980584</c:v>
                </c:pt>
                <c:pt idx="93">
                  <c:v>0.47572815533980572</c:v>
                </c:pt>
                <c:pt idx="94">
                  <c:v>0.47572815533980578</c:v>
                </c:pt>
                <c:pt idx="95">
                  <c:v>0.47572815533980572</c:v>
                </c:pt>
                <c:pt idx="96">
                  <c:v>0.47572815533980578</c:v>
                </c:pt>
                <c:pt idx="97">
                  <c:v>0.47572815533980572</c:v>
                </c:pt>
                <c:pt idx="98">
                  <c:v>0.47572815533980589</c:v>
                </c:pt>
                <c:pt idx="99">
                  <c:v>0.47572815533980578</c:v>
                </c:pt>
                <c:pt idx="100">
                  <c:v>0.47572815533980584</c:v>
                </c:pt>
              </c:numCache>
            </c:numRef>
          </c:val>
          <c:smooth val="0"/>
        </c:ser>
        <c:ser>
          <c:idx val="7"/>
          <c:order val="7"/>
          <c:spPr>
            <a:ln w="31750">
              <a:solidFill>
                <a:srgbClr val="00B050"/>
              </a:solidFill>
            </a:ln>
          </c:spPr>
          <c:marker>
            <c:symbol val="none"/>
          </c:marker>
          <c:val>
            <c:numRef>
              <c:f>'Calculations - Single'!$AW$110:$AW$210</c:f>
              <c:numCache>
                <c:formatCode>0.000</c:formatCode>
                <c:ptCount val="101"/>
                <c:pt idx="0">
                  <c:v>7.6533333333333323E-3</c:v>
                </c:pt>
                <c:pt idx="1">
                  <c:v>2.6558265582655827E-2</c:v>
                </c:pt>
                <c:pt idx="2">
                  <c:v>5.3116531165311655E-2</c:v>
                </c:pt>
                <c:pt idx="3">
                  <c:v>7.96747967479675E-2</c:v>
                </c:pt>
                <c:pt idx="4">
                  <c:v>0.10623306233062331</c:v>
                </c:pt>
                <c:pt idx="5">
                  <c:v>0.13279132791327916</c:v>
                </c:pt>
                <c:pt idx="6">
                  <c:v>0.159349593495935</c:v>
                </c:pt>
                <c:pt idx="7">
                  <c:v>0.18590785907859081</c:v>
                </c:pt>
                <c:pt idx="8">
                  <c:v>0.21246612466124662</c:v>
                </c:pt>
                <c:pt idx="9">
                  <c:v>0.23098821518760557</c:v>
                </c:pt>
                <c:pt idx="10">
                  <c:v>0.24348295754997717</c:v>
                </c:pt>
                <c:pt idx="11">
                  <c:v>0.25536708025705335</c:v>
                </c:pt>
                <c:pt idx="12">
                  <c:v>0.26672221643639055</c:v>
                </c:pt>
                <c:pt idx="13">
                  <c:v>0.27761328462894047</c:v>
                </c:pt>
                <c:pt idx="14">
                  <c:v>0.28809292053814434</c:v>
                </c:pt>
                <c:pt idx="15">
                  <c:v>0.29820450353059041</c:v>
                </c:pt>
                <c:pt idx="16">
                  <c:v>0.30798428691680735</c:v>
                </c:pt>
                <c:pt idx="17">
                  <c:v>0.31746293649713303</c:v>
                </c:pt>
                <c:pt idx="18">
                  <c:v>0.32666666666666661</c:v>
                </c:pt>
                <c:pt idx="19">
                  <c:v>0.33561809571719986</c:v>
                </c:pt>
                <c:pt idx="20">
                  <c:v>0.34433690077389023</c:v>
                </c:pt>
                <c:pt idx="21">
                  <c:v>0.35284032691331679</c:v>
                </c:pt>
                <c:pt idx="22">
                  <c:v>0.36114358828314352</c:v>
                </c:pt>
                <c:pt idx="23">
                  <c:v>0.36926018797015359</c:v>
                </c:pt>
                <c:pt idx="24">
                  <c:v>0.37720217587055543</c:v>
                </c:pt>
                <c:pt idx="25">
                  <c:v>0.38498035864600927</c:v>
                </c:pt>
                <c:pt idx="26">
                  <c:v>0.39260447221718991</c:v>
                </c:pt>
                <c:pt idx="27">
                  <c:v>0.40008332465458585</c:v>
                </c:pt>
                <c:pt idx="28">
                  <c:v>0.40742491544871806</c:v>
                </c:pt>
                <c:pt idx="29">
                  <c:v>0.41463653576370169</c:v>
                </c:pt>
                <c:pt idx="30">
                  <c:v>0.42172485325369646</c:v>
                </c:pt>
                <c:pt idx="31">
                  <c:v>0.4286959842517542</c:v>
                </c:pt>
                <c:pt idx="32">
                  <c:v>0.43555555555555553</c:v>
                </c:pt>
                <c:pt idx="33">
                  <c:v>0.44230875758573568</c:v>
                </c:pt>
                <c:pt idx="34">
                  <c:v>0.44896039034503421</c:v>
                </c:pt>
                <c:pt idx="35">
                  <c:v>0.45551490333521882</c:v>
                </c:pt>
                <c:pt idx="36">
                  <c:v>0.46197643037521113</c:v>
                </c:pt>
                <c:pt idx="37">
                  <c:v>0.46834882009454304</c:v>
                </c:pt>
                <c:pt idx="38">
                  <c:v>0.47463566274109559</c:v>
                </c:pt>
                <c:pt idx="39">
                  <c:v>0.48084031383340503</c:v>
                </c:pt>
                <c:pt idx="40">
                  <c:v>0.48696591509995435</c:v>
                </c:pt>
                <c:pt idx="41">
                  <c:v>0.49301541307637053</c:v>
                </c:pt>
                <c:pt idx="42">
                  <c:v>0.49899157567296926</c:v>
                </c:pt>
                <c:pt idx="43">
                  <c:v>0.50489700697698836</c:v>
                </c:pt>
                <c:pt idx="44">
                  <c:v>0.51073416051410669</c:v>
                </c:pt>
                <c:pt idx="45">
                  <c:v>0.51650535116083529</c:v>
                </c:pt>
                <c:pt idx="46">
                  <c:v>0.52221276587182941</c:v>
                </c:pt>
                <c:pt idx="47">
                  <c:v>0.52785847336311142</c:v>
                </c:pt>
                <c:pt idx="48">
                  <c:v>0.53344443287278109</c:v>
                </c:pt>
                <c:pt idx="49">
                  <c:v>0.53897250210441283</c:v>
                </c:pt>
                <c:pt idx="50">
                  <c:v>0.5444444444444444</c:v>
                </c:pt>
                <c:pt idx="51">
                  <c:v>0.54986193553304641</c:v>
                </c:pt>
                <c:pt idx="52">
                  <c:v>0.55522656925788094</c:v>
                </c:pt>
                <c:pt idx="53">
                  <c:v>0.5605398632315145</c:v>
                </c:pt>
                <c:pt idx="54">
                  <c:v>0.56580326380583323</c:v>
                </c:pt>
                <c:pt idx="55">
                  <c:v>0.56439459159335648</c:v>
                </c:pt>
                <c:pt idx="56">
                  <c:v>0.55933265444013613</c:v>
                </c:pt>
                <c:pt idx="57">
                  <c:v>0.57647058823529407</c:v>
                </c:pt>
                <c:pt idx="58">
                  <c:v>0.57647058823529418</c:v>
                </c:pt>
                <c:pt idx="59">
                  <c:v>0.57647058823529418</c:v>
                </c:pt>
                <c:pt idx="60">
                  <c:v>0.57647058823529418</c:v>
                </c:pt>
                <c:pt idx="61">
                  <c:v>0.57647058823529407</c:v>
                </c:pt>
                <c:pt idx="62">
                  <c:v>0.57647058823529407</c:v>
                </c:pt>
                <c:pt idx="63">
                  <c:v>0.57647058823529418</c:v>
                </c:pt>
                <c:pt idx="64">
                  <c:v>0.57647058823529407</c:v>
                </c:pt>
                <c:pt idx="65">
                  <c:v>0.57647058823529407</c:v>
                </c:pt>
                <c:pt idx="66">
                  <c:v>0.57647058823529418</c:v>
                </c:pt>
                <c:pt idx="67">
                  <c:v>0.57647058823529418</c:v>
                </c:pt>
                <c:pt idx="68">
                  <c:v>0.57647058823529407</c:v>
                </c:pt>
                <c:pt idx="69">
                  <c:v>0.57647058823529407</c:v>
                </c:pt>
                <c:pt idx="70">
                  <c:v>0.57647058823529407</c:v>
                </c:pt>
                <c:pt idx="71">
                  <c:v>0.57647058823529407</c:v>
                </c:pt>
                <c:pt idx="72">
                  <c:v>0.57647058823529418</c:v>
                </c:pt>
                <c:pt idx="73">
                  <c:v>0.57647058823529407</c:v>
                </c:pt>
                <c:pt idx="74">
                  <c:v>0.57647058823529407</c:v>
                </c:pt>
                <c:pt idx="75">
                  <c:v>0.57647058823529418</c:v>
                </c:pt>
                <c:pt idx="76">
                  <c:v>0.57647058823529418</c:v>
                </c:pt>
                <c:pt idx="77">
                  <c:v>0.57647058823529407</c:v>
                </c:pt>
                <c:pt idx="78">
                  <c:v>0.57647058823529418</c:v>
                </c:pt>
                <c:pt idx="79">
                  <c:v>0.57647058823529407</c:v>
                </c:pt>
                <c:pt idx="80">
                  <c:v>0.57647058823529407</c:v>
                </c:pt>
                <c:pt idx="81">
                  <c:v>0.57647058823529418</c:v>
                </c:pt>
                <c:pt idx="82">
                  <c:v>0.57647058823529407</c:v>
                </c:pt>
                <c:pt idx="83">
                  <c:v>0.57647058823529418</c:v>
                </c:pt>
                <c:pt idx="84">
                  <c:v>0.57647058823529418</c:v>
                </c:pt>
                <c:pt idx="85">
                  <c:v>0.57647058823529407</c:v>
                </c:pt>
                <c:pt idx="86">
                  <c:v>0.57647058823529418</c:v>
                </c:pt>
                <c:pt idx="87">
                  <c:v>0.57647058823529418</c:v>
                </c:pt>
                <c:pt idx="88">
                  <c:v>0.57647058823529407</c:v>
                </c:pt>
                <c:pt idx="89">
                  <c:v>0.57647058823529418</c:v>
                </c:pt>
                <c:pt idx="90">
                  <c:v>0.57647058823529407</c:v>
                </c:pt>
                <c:pt idx="91">
                  <c:v>0.57647058823529396</c:v>
                </c:pt>
                <c:pt idx="92">
                  <c:v>0.57647058823529418</c:v>
                </c:pt>
                <c:pt idx="93">
                  <c:v>0.57647058823529418</c:v>
                </c:pt>
                <c:pt idx="94">
                  <c:v>0.57647058823529407</c:v>
                </c:pt>
                <c:pt idx="95">
                  <c:v>0.57647058823529407</c:v>
                </c:pt>
                <c:pt idx="96">
                  <c:v>0.57647058823529407</c:v>
                </c:pt>
                <c:pt idx="97">
                  <c:v>0.57647058823529418</c:v>
                </c:pt>
                <c:pt idx="98">
                  <c:v>0.57647058823529418</c:v>
                </c:pt>
                <c:pt idx="99">
                  <c:v>0.57647058823529407</c:v>
                </c:pt>
                <c:pt idx="100">
                  <c:v>0.57647058823529407</c:v>
                </c:pt>
              </c:numCache>
            </c:numRef>
          </c:val>
          <c:smooth val="0"/>
        </c:ser>
        <c:ser>
          <c:idx val="8"/>
          <c:order val="8"/>
          <c:spPr>
            <a:ln w="31750">
              <a:solidFill>
                <a:srgbClr val="0000FF"/>
              </a:solidFill>
            </a:ln>
          </c:spPr>
          <c:marker>
            <c:symbol val="none"/>
          </c:marker>
          <c:val>
            <c:numRef>
              <c:f>'Calculations - Single'!$AW$217:$AW$317</c:f>
              <c:numCache>
                <c:formatCode>0.000</c:formatCode>
                <c:ptCount val="101"/>
                <c:pt idx="0">
                  <c:v>1.64E-3</c:v>
                </c:pt>
                <c:pt idx="1">
                  <c:v>5.691056910569107E-3</c:v>
                </c:pt>
                <c:pt idx="2">
                  <c:v>1.1382113821138214E-2</c:v>
                </c:pt>
                <c:pt idx="3">
                  <c:v>1.7073170731707325E-2</c:v>
                </c:pt>
                <c:pt idx="4">
                  <c:v>2.2764227642276428E-2</c:v>
                </c:pt>
                <c:pt idx="5">
                  <c:v>2.8455284552845541E-2</c:v>
                </c:pt>
                <c:pt idx="6">
                  <c:v>3.4146341463414651E-2</c:v>
                </c:pt>
                <c:pt idx="7">
                  <c:v>3.983739837398375E-2</c:v>
                </c:pt>
                <c:pt idx="8">
                  <c:v>4.5528455284552856E-2</c:v>
                </c:pt>
                <c:pt idx="9">
                  <c:v>4.9497474683058325E-2</c:v>
                </c:pt>
                <c:pt idx="10">
                  <c:v>5.2174919474995113E-2</c:v>
                </c:pt>
                <c:pt idx="11">
                  <c:v>5.4721517197940009E-2</c:v>
                </c:pt>
                <c:pt idx="12">
                  <c:v>5.7154760664940837E-2</c:v>
                </c:pt>
                <c:pt idx="13">
                  <c:v>5.9488560991915816E-2</c:v>
                </c:pt>
                <c:pt idx="14">
                  <c:v>6.1734197258173792E-2</c:v>
                </c:pt>
                <c:pt idx="15">
                  <c:v>6.3900965042269373E-2</c:v>
                </c:pt>
                <c:pt idx="16">
                  <c:v>6.5996632910744438E-2</c:v>
                </c:pt>
                <c:pt idx="17">
                  <c:v>6.8027772106528508E-2</c:v>
                </c:pt>
                <c:pt idx="18">
                  <c:v>6.9999999999999993E-2</c:v>
                </c:pt>
                <c:pt idx="19">
                  <c:v>7.1918163367971397E-2</c:v>
                </c:pt>
                <c:pt idx="20">
                  <c:v>7.3786478737262184E-2</c:v>
                </c:pt>
                <c:pt idx="21">
                  <c:v>7.5608641481425043E-2</c:v>
                </c:pt>
                <c:pt idx="22">
                  <c:v>7.7387911774959336E-2</c:v>
                </c:pt>
                <c:pt idx="23">
                  <c:v>7.9127183136461471E-2</c:v>
                </c:pt>
                <c:pt idx="24">
                  <c:v>8.0829037686547589E-2</c:v>
                </c:pt>
                <c:pt idx="25">
                  <c:v>8.2495791138430558E-2</c:v>
                </c:pt>
                <c:pt idx="26">
                  <c:v>8.412952976082641E-2</c:v>
                </c:pt>
                <c:pt idx="27">
                  <c:v>8.5732140997411235E-2</c:v>
                </c:pt>
                <c:pt idx="28">
                  <c:v>8.7305339024725301E-2</c:v>
                </c:pt>
                <c:pt idx="29">
                  <c:v>8.8850686235078927E-2</c:v>
                </c:pt>
                <c:pt idx="30">
                  <c:v>9.0369611411506387E-2</c:v>
                </c:pt>
                <c:pt idx="31">
                  <c:v>9.186342519680446E-2</c:v>
                </c:pt>
                <c:pt idx="32">
                  <c:v>9.3333333333333324E-2</c:v>
                </c:pt>
                <c:pt idx="33">
                  <c:v>9.4780448054086183E-2</c:v>
                </c:pt>
                <c:pt idx="34">
                  <c:v>9.6205797931078765E-2</c:v>
                </c:pt>
                <c:pt idx="35">
                  <c:v>9.7610336428975472E-2</c:v>
                </c:pt>
                <c:pt idx="36">
                  <c:v>9.899494936611665E-2</c:v>
                </c:pt>
                <c:pt idx="37">
                  <c:v>0.10036046144883065</c:v>
                </c:pt>
                <c:pt idx="38">
                  <c:v>0.10170764201594908</c:v>
                </c:pt>
                <c:pt idx="39">
                  <c:v>0.10303721010715822</c:v>
                </c:pt>
                <c:pt idx="40">
                  <c:v>0.10434983894999023</c:v>
                </c:pt>
                <c:pt idx="41">
                  <c:v>0.10564615994493654</c:v>
                </c:pt>
                <c:pt idx="42">
                  <c:v>0.10692676621563627</c:v>
                </c:pt>
                <c:pt idx="43">
                  <c:v>0.10819221578078322</c:v>
                </c:pt>
                <c:pt idx="44">
                  <c:v>0.10944303439588002</c:v>
                </c:pt>
                <c:pt idx="45">
                  <c:v>0.11067971810589329</c:v>
                </c:pt>
                <c:pt idx="46">
                  <c:v>0.11190273554396345</c:v>
                </c:pt>
                <c:pt idx="47">
                  <c:v>0.11311253000638101</c:v>
                </c:pt>
                <c:pt idx="48">
                  <c:v>0.11430952132988167</c:v>
                </c:pt>
                <c:pt idx="49">
                  <c:v>0.11549410759380278</c:v>
                </c:pt>
                <c:pt idx="50">
                  <c:v>0.11666666666666668</c:v>
                </c:pt>
                <c:pt idx="51">
                  <c:v>0.11782755761422424</c:v>
                </c:pt>
                <c:pt idx="52">
                  <c:v>0.11897712198383163</c:v>
                </c:pt>
                <c:pt idx="53">
                  <c:v>0.12011568497818169</c:v>
                </c:pt>
                <c:pt idx="54">
                  <c:v>0.12124355652982143</c:v>
                </c:pt>
                <c:pt idx="55">
                  <c:v>0.12236103228651769</c:v>
                </c:pt>
                <c:pt idx="56">
                  <c:v>0.12346839451634758</c:v>
                </c:pt>
                <c:pt idx="57">
                  <c:v>0.12456591294036527</c:v>
                </c:pt>
                <c:pt idx="58">
                  <c:v>0.12565384549980507</c:v>
                </c:pt>
                <c:pt idx="59">
                  <c:v>0.1267324390640025</c:v>
                </c:pt>
                <c:pt idx="60">
                  <c:v>0.12780193008453875</c:v>
                </c:pt>
                <c:pt idx="61">
                  <c:v>0.12886254520051804</c:v>
                </c:pt>
                <c:pt idx="62">
                  <c:v>0.12991450179936717</c:v>
                </c:pt>
                <c:pt idx="63">
                  <c:v>0.13095800853708794</c:v>
                </c:pt>
                <c:pt idx="64">
                  <c:v>0.13199326582148888</c:v>
                </c:pt>
                <c:pt idx="65">
                  <c:v>0.13302046626156611</c:v>
                </c:pt>
                <c:pt idx="66">
                  <c:v>0.13403979508588731</c:v>
                </c:pt>
                <c:pt idx="67">
                  <c:v>0.13505143053255261</c:v>
                </c:pt>
                <c:pt idx="68">
                  <c:v>0.13605554421305702</c:v>
                </c:pt>
                <c:pt idx="69">
                  <c:v>0.13705230145215852</c:v>
                </c:pt>
                <c:pt idx="70">
                  <c:v>0.13804186160565771</c:v>
                </c:pt>
                <c:pt idx="71">
                  <c:v>0.13902437835781817</c:v>
                </c:pt>
                <c:pt idx="72">
                  <c:v>0.13999999999999999</c:v>
                </c:pt>
                <c:pt idx="73">
                  <c:v>0.1409688696919367</c:v>
                </c:pt>
                <c:pt idx="74">
                  <c:v>0.14193112570695843</c:v>
                </c:pt>
                <c:pt idx="75">
                  <c:v>0.14288690166235207</c:v>
                </c:pt>
                <c:pt idx="76">
                  <c:v>0.14383632673594279</c:v>
                </c:pt>
                <c:pt idx="77">
                  <c:v>0.14477952586989332</c:v>
                </c:pt>
                <c:pt idx="78">
                  <c:v>0.1457166199626293</c:v>
                </c:pt>
                <c:pt idx="79">
                  <c:v>0.14664772604972623</c:v>
                </c:pt>
                <c:pt idx="80">
                  <c:v>0.14757295747452437</c:v>
                </c:pt>
                <c:pt idx="81">
                  <c:v>0.14849242404917498</c:v>
                </c:pt>
                <c:pt idx="82">
                  <c:v>0.14940623220676646</c:v>
                </c:pt>
                <c:pt idx="83">
                  <c:v>0.15031448514512646</c:v>
                </c:pt>
                <c:pt idx="84">
                  <c:v>0.15121728296285009</c:v>
                </c:pt>
                <c:pt idx="85">
                  <c:v>0.15211472278806182</c:v>
                </c:pt>
                <c:pt idx="86">
                  <c:v>0.15300689890038002</c:v>
                </c:pt>
                <c:pt idx="87">
                  <c:v>0.15389390284651741</c:v>
                </c:pt>
                <c:pt idx="88">
                  <c:v>0.15477582354991867</c:v>
                </c:pt>
                <c:pt idx="89">
                  <c:v>0.15565274741480725</c:v>
                </c:pt>
                <c:pt idx="90">
                  <c:v>0.15652475842498528</c:v>
                </c:pt>
                <c:pt idx="91">
                  <c:v>0.15739193823770717</c:v>
                </c:pt>
                <c:pt idx="92">
                  <c:v>0.15825436627292294</c:v>
                </c:pt>
                <c:pt idx="93">
                  <c:v>0.15911211979816831</c:v>
                </c:pt>
                <c:pt idx="94">
                  <c:v>0.15996527400935767</c:v>
                </c:pt>
                <c:pt idx="95">
                  <c:v>0.16081390210771929</c:v>
                </c:pt>
                <c:pt idx="96">
                  <c:v>0.16165807537309518</c:v>
                </c:pt>
                <c:pt idx="97">
                  <c:v>0.16249786323381471</c:v>
                </c:pt>
                <c:pt idx="98">
                  <c:v>0.16333333333333336</c:v>
                </c:pt>
                <c:pt idx="99">
                  <c:v>0.16416455159382004</c:v>
                </c:pt>
                <c:pt idx="100">
                  <c:v>0.16499158227686112</c:v>
                </c:pt>
              </c:numCache>
            </c:numRef>
          </c:val>
          <c:smooth val="0"/>
        </c:ser>
        <c:dLbls>
          <c:showLegendKey val="0"/>
          <c:showVal val="0"/>
          <c:showCatName val="0"/>
          <c:showSerName val="0"/>
          <c:showPercent val="0"/>
          <c:showBubbleSize val="0"/>
        </c:dLbls>
        <c:marker val="1"/>
        <c:smooth val="0"/>
        <c:axId val="139931008"/>
        <c:axId val="139929088"/>
      </c:lineChart>
      <c:catAx>
        <c:axId val="139924992"/>
        <c:scaling>
          <c:orientation val="minMax"/>
        </c:scaling>
        <c:delete val="0"/>
        <c:axPos val="b"/>
        <c:majorGridlines>
          <c:spPr>
            <a:ln w="15875">
              <a:solidFill>
                <a:srgbClr val="969696"/>
              </a:solidFill>
              <a:prstDash val="sysDash"/>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400">
                    <a:solidFill>
                      <a:schemeClr val="tx1"/>
                    </a:solidFill>
                    <a:latin typeface="Arial" pitchFamily="34" charset="0"/>
                    <a:cs typeface="Arial" pitchFamily="34" charset="0"/>
                  </a:rPr>
                  <a:t>Load Current (mA)</a:t>
                </a:r>
              </a:p>
            </c:rich>
          </c:tx>
          <c:layout>
            <c:manualLayout>
              <c:xMode val="edge"/>
              <c:yMode val="edge"/>
              <c:x val="0.4112305719849535"/>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139926912"/>
        <c:crosses val="autoZero"/>
        <c:auto val="1"/>
        <c:lblAlgn val="ctr"/>
        <c:lblOffset val="100"/>
        <c:tickLblSkip val="20"/>
        <c:tickMarkSkip val="10"/>
        <c:noMultiLvlLbl val="0"/>
      </c:catAx>
      <c:valAx>
        <c:axId val="139926912"/>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400" b="1">
                    <a:solidFill>
                      <a:schemeClr val="tx1"/>
                    </a:solidFill>
                    <a:latin typeface="Arial" pitchFamily="34" charset="0"/>
                    <a:cs typeface="Arial" pitchFamily="34" charset="0"/>
                  </a:rPr>
                  <a:t>Switching</a:t>
                </a:r>
                <a:r>
                  <a:rPr lang="en-US" sz="1400" b="1" baseline="0">
                    <a:solidFill>
                      <a:schemeClr val="tx1"/>
                    </a:solidFill>
                    <a:latin typeface="Arial" pitchFamily="34" charset="0"/>
                    <a:cs typeface="Arial" pitchFamily="34" charset="0"/>
                  </a:rPr>
                  <a:t> Frquency (kHz)</a:t>
                </a:r>
                <a:endParaRPr lang="en-US" sz="14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200" b="1" i="0" u="none" strike="noStrike" baseline="0">
                <a:solidFill>
                  <a:schemeClr val="tx1"/>
                </a:solidFill>
                <a:latin typeface="Arial" pitchFamily="34" charset="0"/>
                <a:ea typeface="Calibri"/>
                <a:cs typeface="Arial" pitchFamily="34" charset="0"/>
              </a:defRPr>
            </a:pPr>
            <a:endParaRPr lang="en-US"/>
          </a:p>
        </c:txPr>
        <c:crossAx val="139924992"/>
        <c:crossesAt val="0"/>
        <c:crossBetween val="between"/>
        <c:majorUnit val="50"/>
        <c:minorUnit val="25"/>
      </c:valAx>
      <c:valAx>
        <c:axId val="139929088"/>
        <c:scaling>
          <c:orientation val="minMax"/>
          <c:min val="0"/>
        </c:scaling>
        <c:delete val="0"/>
        <c:axPos val="r"/>
        <c:title>
          <c:tx>
            <c:rich>
              <a:bodyPr rot="-5400000" vert="horz"/>
              <a:lstStyle/>
              <a:p>
                <a:pPr>
                  <a:defRPr sz="1400" b="1"/>
                </a:pPr>
                <a:r>
                  <a:rPr lang="en-US" sz="1400" b="1"/>
                  <a:t>Duty Cycle</a:t>
                </a:r>
              </a:p>
            </c:rich>
          </c:tx>
          <c:layout>
            <c:manualLayout>
              <c:xMode val="edge"/>
              <c:yMode val="edge"/>
              <c:x val="0.96323100741439582"/>
              <c:y val="0.41073169332818471"/>
            </c:manualLayout>
          </c:layout>
          <c:overlay val="0"/>
        </c:title>
        <c:numFmt formatCode="General" sourceLinked="0"/>
        <c:majorTickMark val="in"/>
        <c:minorTickMark val="in"/>
        <c:tickLblPos val="nextTo"/>
        <c:txPr>
          <a:bodyPr/>
          <a:lstStyle/>
          <a:p>
            <a:pPr>
              <a:defRPr sz="1200" b="1"/>
            </a:pPr>
            <a:endParaRPr lang="en-US"/>
          </a:p>
        </c:txPr>
        <c:crossAx val="139931008"/>
        <c:crosses val="max"/>
        <c:crossBetween val="between"/>
        <c:majorUnit val="0.1"/>
        <c:minorUnit val="2.0000000000000004E-2"/>
      </c:valAx>
      <c:catAx>
        <c:axId val="139931008"/>
        <c:scaling>
          <c:orientation val="minMax"/>
        </c:scaling>
        <c:delete val="1"/>
        <c:axPos val="b"/>
        <c:majorTickMark val="out"/>
        <c:minorTickMark val="none"/>
        <c:tickLblPos val="nextTo"/>
        <c:crossAx val="139929088"/>
        <c:crosses val="autoZero"/>
        <c:auto val="1"/>
        <c:lblAlgn val="ctr"/>
        <c:lblOffset val="100"/>
        <c:noMultiLvlLbl val="0"/>
      </c:catAx>
      <c:spPr>
        <a:solidFill>
          <a:srgbClr val="FFFFFF"/>
        </a:solidFill>
        <a:ln w="25400">
          <a:noFill/>
        </a:ln>
      </c:spPr>
    </c:plotArea>
    <c:legend>
      <c:legendPos val="t"/>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21364188347424315"/>
          <c:y val="3.4655227110648466E-2"/>
          <c:w val="0.56362386153343735"/>
          <c:h val="5.4335766847817754E-2"/>
        </c:manualLayout>
      </c:layout>
      <c:overlay val="0"/>
      <c:spPr>
        <a:solidFill>
          <a:srgbClr val="FFFFFF"/>
        </a:solidFill>
        <a:ln w="25400">
          <a:noFill/>
        </a:ln>
      </c:spPr>
      <c:txPr>
        <a:bodyPr/>
        <a:lstStyle/>
        <a:p>
          <a:pPr>
            <a:defRPr sz="1400" b="1"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93009796772281"/>
          <c:y val="9.6043598935517463E-2"/>
          <c:w val="0.79387547420256122"/>
          <c:h val="0.75083975467433728"/>
        </c:manualLayout>
      </c:layout>
      <c:lineChart>
        <c:grouping val="standard"/>
        <c:varyColors val="0"/>
        <c:ser>
          <c:idx val="9"/>
          <c:order val="6"/>
          <c:tx>
            <c:v>VIN-min</c:v>
          </c:tx>
          <c:spPr>
            <a:ln>
              <a:solidFill>
                <a:srgbClr val="00B050"/>
              </a:solidFill>
              <a:prstDash val="sysDash"/>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344.37481407255473</c:v>
                </c:pt>
                <c:pt idx="35">
                  <c:v>334.5355336704817</c:v>
                </c:pt>
                <c:pt idx="36">
                  <c:v>325.24287995741281</c:v>
                </c:pt>
                <c:pt idx="37">
                  <c:v>316.45253185045567</c:v>
                </c:pt>
                <c:pt idx="38">
                  <c:v>308.12483364386469</c:v>
                </c:pt>
                <c:pt idx="39">
                  <c:v>300.22419688376556</c:v>
                </c:pt>
                <c:pt idx="40">
                  <c:v>292.71859196167145</c:v>
                </c:pt>
                <c:pt idx="41">
                  <c:v>285.57911410894781</c:v>
                </c:pt>
                <c:pt idx="42">
                  <c:v>278.77961139206815</c:v>
                </c:pt>
                <c:pt idx="43">
                  <c:v>272.29636461550842</c:v>
                </c:pt>
                <c:pt idx="44">
                  <c:v>266.10781087424681</c:v>
                </c:pt>
                <c:pt idx="45">
                  <c:v>260.1943039659302</c:v>
                </c:pt>
                <c:pt idx="46">
                  <c:v>254.53790605362735</c:v>
                </c:pt>
                <c:pt idx="47">
                  <c:v>249.1222059248268</c:v>
                </c:pt>
                <c:pt idx="48">
                  <c:v>243.93215996805955</c:v>
                </c:pt>
                <c:pt idx="49">
                  <c:v>238.95395262177266</c:v>
                </c:pt>
                <c:pt idx="50">
                  <c:v>234.17487356933714</c:v>
                </c:pt>
                <c:pt idx="51">
                  <c:v>229.58320938170309</c:v>
                </c:pt>
                <c:pt idx="52">
                  <c:v>225.16814766282417</c:v>
                </c:pt>
                <c:pt idx="53">
                  <c:v>220.9196920465445</c:v>
                </c:pt>
                <c:pt idx="54">
                  <c:v>216.82858663827514</c:v>
                </c:pt>
                <c:pt idx="55">
                  <c:v>212.88624869939744</c:v>
                </c:pt>
                <c:pt idx="56">
                  <c:v>209.08470854405107</c:v>
                </c:pt>
                <c:pt idx="57">
                  <c:v>205.41655576257651</c:v>
                </c:pt>
                <c:pt idx="58">
                  <c:v>201.87489100804933</c:v>
                </c:pt>
                <c:pt idx="59">
                  <c:v>198.45328268587897</c:v>
                </c:pt>
                <c:pt idx="60">
                  <c:v>195.14572797444771</c:v>
                </c:pt>
                <c:pt idx="61">
                  <c:v>191.94661767978459</c:v>
                </c:pt>
                <c:pt idx="62">
                  <c:v>188.85070449140096</c:v>
                </c:pt>
                <c:pt idx="63">
                  <c:v>185.85307426137874</c:v>
                </c:pt>
                <c:pt idx="64">
                  <c:v>182.94911997604467</c:v>
                </c:pt>
                <c:pt idx="65">
                  <c:v>180.50859386086347</c:v>
                </c:pt>
                <c:pt idx="66">
                  <c:v>179.36190205797473</c:v>
                </c:pt>
                <c:pt idx="67">
                  <c:v>178.23039564328349</c:v>
                </c:pt>
                <c:pt idx="68">
                  <c:v>177.11377495581107</c:v>
                </c:pt>
                <c:pt idx="69">
                  <c:v>176.01174816753786</c:v>
                </c:pt>
                <c:pt idx="70">
                  <c:v>174.92403102912905</c:v>
                </c:pt>
                <c:pt idx="71">
                  <c:v>173.85034662550134</c:v>
                </c:pt>
                <c:pt idx="72">
                  <c:v>172.79042514078932</c:v>
                </c:pt>
                <c:pt idx="73">
                  <c:v>171.74400363229302</c:v>
                </c:pt>
                <c:pt idx="74">
                  <c:v>170.71082581300777</c:v>
                </c:pt>
                <c:pt idx="75">
                  <c:v>169.69064184235944</c:v>
                </c:pt>
                <c:pt idx="76">
                  <c:v>168.68320812478589</c:v>
                </c:pt>
                <c:pt idx="77">
                  <c:v>167.6882871158235</c:v>
                </c:pt>
                <c:pt idx="78">
                  <c:v>166.70564713537419</c:v>
                </c:pt>
                <c:pt idx="79">
                  <c:v>165.73506218784559</c:v>
                </c:pt>
                <c:pt idx="80">
                  <c:v>164.77631178886978</c:v>
                </c:pt>
                <c:pt idx="81">
                  <c:v>163.82918079832271</c:v>
                </c:pt>
                <c:pt idx="82">
                  <c:v>162.89345925937772</c:v>
                </c:pt>
                <c:pt idx="83">
                  <c:v>161.96894224334102</c:v>
                </c:pt>
                <c:pt idx="84">
                  <c:v>161.05542970002759</c:v>
                </c:pt>
                <c:pt idx="85">
                  <c:v>160.15272631344868</c:v>
                </c:pt>
                <c:pt idx="86">
                  <c:v>159.2606413625916</c:v>
                </c:pt>
                <c:pt idx="87">
                  <c:v>158.37898858708411</c:v>
                </c:pt>
                <c:pt idx="88">
                  <c:v>157.50758605754373</c:v>
                </c:pt>
                <c:pt idx="89">
                  <c:v>156.64625605042343</c:v>
                </c:pt>
                <c:pt idx="90">
                  <c:v>155.79482492717199</c:v>
                </c:pt>
                <c:pt idx="91">
                  <c:v>154.95312301753694</c:v>
                </c:pt>
                <c:pt idx="92">
                  <c:v>154.1209845068455</c:v>
                </c:pt>
                <c:pt idx="93">
                  <c:v>153.29824732710526</c:v>
                </c:pt>
                <c:pt idx="94">
                  <c:v>152.48475305177601</c:v>
                </c:pt>
                <c:pt idx="95">
                  <c:v>151.68034679406736</c:v>
                </c:pt>
                <c:pt idx="96">
                  <c:v>150.88487710862674</c:v>
                </c:pt>
                <c:pt idx="97">
                  <c:v>150.09819589648527</c:v>
                </c:pt>
                <c:pt idx="98">
                  <c:v>149.32015831313734</c:v>
                </c:pt>
                <c:pt idx="99">
                  <c:v>148.55062267963316</c:v>
                </c:pt>
                <c:pt idx="100">
                  <c:v>147.78945039657023</c:v>
                </c:pt>
              </c:numCache>
            </c:numRef>
          </c:val>
          <c:smooth val="0"/>
        </c:ser>
        <c:ser>
          <c:idx val="10"/>
          <c:order val="7"/>
          <c:tx>
            <c:v>VIN-nom</c:v>
          </c:tx>
          <c:spPr>
            <a:ln w="28575">
              <a:solidFill>
                <a:srgbClr val="0000FF"/>
              </a:solidFill>
              <a:prstDash val="lgDash"/>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345.02683574736409</c:v>
                </c:pt>
                <c:pt idx="53">
                  <c:v>338.51689545024414</c:v>
                </c:pt>
                <c:pt idx="54">
                  <c:v>332.24806405301734</c:v>
                </c:pt>
                <c:pt idx="55">
                  <c:v>326.20719016114424</c:v>
                </c:pt>
                <c:pt idx="56">
                  <c:v>320.38206176540962</c:v>
                </c:pt>
                <c:pt idx="57">
                  <c:v>314.76132383970071</c:v>
                </c:pt>
                <c:pt idx="58">
                  <c:v>309.33440446315421</c:v>
                </c:pt>
                <c:pt idx="59">
                  <c:v>304.09144845530398</c:v>
                </c:pt>
                <c:pt idx="60">
                  <c:v>299.0232576477157</c:v>
                </c:pt>
                <c:pt idx="61">
                  <c:v>294.12123703053999</c:v>
                </c:pt>
                <c:pt idx="62">
                  <c:v>289.37734611069254</c:v>
                </c:pt>
                <c:pt idx="63">
                  <c:v>284.78405490258638</c:v>
                </c:pt>
                <c:pt idx="64">
                  <c:v>280.33430404473341</c:v>
                </c:pt>
                <c:pt idx="65">
                  <c:v>276.02146859789133</c:v>
                </c:pt>
                <c:pt idx="66">
                  <c:v>271.83932513428698</c:v>
                </c:pt>
                <c:pt idx="67">
                  <c:v>267.78202177407371</c:v>
                </c:pt>
                <c:pt idx="68">
                  <c:v>263.84405086563146</c:v>
                </c:pt>
                <c:pt idx="69">
                  <c:v>260.02022404149187</c:v>
                </c:pt>
                <c:pt idx="70">
                  <c:v>256.30564941232774</c:v>
                </c:pt>
                <c:pt idx="71">
                  <c:v>252.69571068821045</c:v>
                </c:pt>
                <c:pt idx="72">
                  <c:v>249.18604803976308</c:v>
                </c:pt>
                <c:pt idx="73">
                  <c:v>245.77254053236905</c:v>
                </c:pt>
                <c:pt idx="74">
                  <c:v>242.45128998463434</c:v>
                </c:pt>
                <c:pt idx="75">
                  <c:v>239.21860611817246</c:v>
                </c:pt>
                <c:pt idx="76">
                  <c:v>236.0709928797755</c:v>
                </c:pt>
                <c:pt idx="77">
                  <c:v>233.00513582938882</c:v>
                </c:pt>
                <c:pt idx="78">
                  <c:v>230.01789049824279</c:v>
                </c:pt>
                <c:pt idx="79">
                  <c:v>227.10627163117641</c:v>
                </c:pt>
                <c:pt idx="80">
                  <c:v>224.26744323578671</c:v>
                </c:pt>
                <c:pt idx="81">
                  <c:v>222.60018362933715</c:v>
                </c:pt>
                <c:pt idx="82">
                  <c:v>221.19171485436158</c:v>
                </c:pt>
                <c:pt idx="83">
                  <c:v>219.80166081074259</c:v>
                </c:pt>
                <c:pt idx="84">
                  <c:v>218.42966270461915</c:v>
                </c:pt>
                <c:pt idx="85">
                  <c:v>217.07537100300166</c:v>
                </c:pt>
                <c:pt idx="86">
                  <c:v>215.73844513689639</c:v>
                </c:pt>
                <c:pt idx="87">
                  <c:v>214.41855321577634</c:v>
                </c:pt>
                <c:pt idx="88">
                  <c:v>213.11537175289791</c:v>
                </c:pt>
                <c:pt idx="89">
                  <c:v>211.82858540098408</c:v>
                </c:pt>
                <c:pt idx="90">
                  <c:v>210.55788669782177</c:v>
                </c:pt>
                <c:pt idx="91">
                  <c:v>209.30297582134105</c:v>
                </c:pt>
                <c:pt idx="92">
                  <c:v>208.06356035376777</c:v>
                </c:pt>
                <c:pt idx="93">
                  <c:v>206.83935505445868</c:v>
                </c:pt>
                <c:pt idx="94">
                  <c:v>205.63008164104917</c:v>
                </c:pt>
                <c:pt idx="95">
                  <c:v>204.43546857856026</c:v>
                </c:pt>
                <c:pt idx="96">
                  <c:v>203.25525087613002</c:v>
                </c:pt>
                <c:pt idx="97">
                  <c:v>202.08916989104893</c:v>
                </c:pt>
                <c:pt idx="98">
                  <c:v>200.9369731397951</c:v>
                </c:pt>
                <c:pt idx="99">
                  <c:v>199.79841411577982</c:v>
                </c:pt>
                <c:pt idx="100">
                  <c:v>198.67325211352602</c:v>
                </c:pt>
              </c:numCache>
            </c:numRef>
          </c:val>
          <c:smooth val="0"/>
        </c:ser>
        <c:ser>
          <c:idx val="11"/>
          <c:order val="8"/>
          <c:tx>
            <c:v>VIN-max</c:v>
          </c:tx>
          <c:spPr>
            <a:ln>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Dual'!$AM$218:$AM$318</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12"/>
          <c:order val="9"/>
          <c:spPr>
            <a:ln>
              <a:noFill/>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Dual'!$CE$110:$CE$210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180.50859386086347</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3"/>
          <c:order val="10"/>
          <c:spPr>
            <a:ln>
              <a:noFill/>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Dual'!$CE$5:$CE$105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4"/>
          <c:order val="11"/>
          <c:spPr>
            <a:ln>
              <a:noFill/>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Dual'!$CE$218:$CE$318</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
          <c:order val="0"/>
          <c:tx>
            <c:v>VIN-min</c:v>
          </c:tx>
          <c:spPr>
            <a:ln>
              <a:solidFill>
                <a:srgbClr val="00B050"/>
              </a:solidFill>
              <a:prstDash val="sysDash"/>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344.37481407255473</c:v>
                </c:pt>
                <c:pt idx="35">
                  <c:v>334.5355336704817</c:v>
                </c:pt>
                <c:pt idx="36">
                  <c:v>325.24287995741281</c:v>
                </c:pt>
                <c:pt idx="37">
                  <c:v>316.45253185045567</c:v>
                </c:pt>
                <c:pt idx="38">
                  <c:v>308.12483364386469</c:v>
                </c:pt>
                <c:pt idx="39">
                  <c:v>300.22419688376556</c:v>
                </c:pt>
                <c:pt idx="40">
                  <c:v>292.71859196167145</c:v>
                </c:pt>
                <c:pt idx="41">
                  <c:v>285.57911410894781</c:v>
                </c:pt>
                <c:pt idx="42">
                  <c:v>278.77961139206815</c:v>
                </c:pt>
                <c:pt idx="43">
                  <c:v>272.29636461550842</c:v>
                </c:pt>
                <c:pt idx="44">
                  <c:v>266.10781087424681</c:v>
                </c:pt>
                <c:pt idx="45">
                  <c:v>260.1943039659302</c:v>
                </c:pt>
                <c:pt idx="46">
                  <c:v>254.53790605362735</c:v>
                </c:pt>
                <c:pt idx="47">
                  <c:v>249.1222059248268</c:v>
                </c:pt>
                <c:pt idx="48">
                  <c:v>243.93215996805955</c:v>
                </c:pt>
                <c:pt idx="49">
                  <c:v>238.95395262177266</c:v>
                </c:pt>
                <c:pt idx="50">
                  <c:v>234.17487356933714</c:v>
                </c:pt>
                <c:pt idx="51">
                  <c:v>229.58320938170309</c:v>
                </c:pt>
                <c:pt idx="52">
                  <c:v>225.16814766282417</c:v>
                </c:pt>
                <c:pt idx="53">
                  <c:v>220.9196920465445</c:v>
                </c:pt>
                <c:pt idx="54">
                  <c:v>216.82858663827514</c:v>
                </c:pt>
                <c:pt idx="55">
                  <c:v>212.88624869939744</c:v>
                </c:pt>
                <c:pt idx="56">
                  <c:v>209.08470854405107</c:v>
                </c:pt>
                <c:pt idx="57">
                  <c:v>205.41655576257651</c:v>
                </c:pt>
                <c:pt idx="58">
                  <c:v>201.87489100804933</c:v>
                </c:pt>
                <c:pt idx="59">
                  <c:v>198.45328268587897</c:v>
                </c:pt>
                <c:pt idx="60">
                  <c:v>195.14572797444771</c:v>
                </c:pt>
                <c:pt idx="61">
                  <c:v>191.94661767978459</c:v>
                </c:pt>
                <c:pt idx="62">
                  <c:v>188.85070449140096</c:v>
                </c:pt>
                <c:pt idx="63">
                  <c:v>185.85307426137874</c:v>
                </c:pt>
                <c:pt idx="64">
                  <c:v>182.94911997604467</c:v>
                </c:pt>
                <c:pt idx="65">
                  <c:v>180.50859386086347</c:v>
                </c:pt>
                <c:pt idx="66">
                  <c:v>179.36190205797473</c:v>
                </c:pt>
                <c:pt idx="67">
                  <c:v>178.23039564328349</c:v>
                </c:pt>
                <c:pt idx="68">
                  <c:v>177.11377495581107</c:v>
                </c:pt>
                <c:pt idx="69">
                  <c:v>176.01174816753786</c:v>
                </c:pt>
                <c:pt idx="70">
                  <c:v>174.92403102912905</c:v>
                </c:pt>
                <c:pt idx="71">
                  <c:v>173.85034662550134</c:v>
                </c:pt>
                <c:pt idx="72">
                  <c:v>172.79042514078932</c:v>
                </c:pt>
                <c:pt idx="73">
                  <c:v>171.74400363229302</c:v>
                </c:pt>
                <c:pt idx="74">
                  <c:v>170.71082581300777</c:v>
                </c:pt>
                <c:pt idx="75">
                  <c:v>169.69064184235944</c:v>
                </c:pt>
                <c:pt idx="76">
                  <c:v>168.68320812478589</c:v>
                </c:pt>
                <c:pt idx="77">
                  <c:v>167.6882871158235</c:v>
                </c:pt>
                <c:pt idx="78">
                  <c:v>166.70564713537419</c:v>
                </c:pt>
                <c:pt idx="79">
                  <c:v>165.73506218784559</c:v>
                </c:pt>
                <c:pt idx="80">
                  <c:v>164.77631178886978</c:v>
                </c:pt>
                <c:pt idx="81">
                  <c:v>163.82918079832271</c:v>
                </c:pt>
                <c:pt idx="82">
                  <c:v>162.89345925937772</c:v>
                </c:pt>
                <c:pt idx="83">
                  <c:v>161.96894224334102</c:v>
                </c:pt>
                <c:pt idx="84">
                  <c:v>161.05542970002759</c:v>
                </c:pt>
                <c:pt idx="85">
                  <c:v>160.15272631344868</c:v>
                </c:pt>
                <c:pt idx="86">
                  <c:v>159.2606413625916</c:v>
                </c:pt>
                <c:pt idx="87">
                  <c:v>158.37898858708411</c:v>
                </c:pt>
                <c:pt idx="88">
                  <c:v>157.50758605754373</c:v>
                </c:pt>
                <c:pt idx="89">
                  <c:v>156.64625605042343</c:v>
                </c:pt>
                <c:pt idx="90">
                  <c:v>155.79482492717199</c:v>
                </c:pt>
                <c:pt idx="91">
                  <c:v>154.95312301753694</c:v>
                </c:pt>
                <c:pt idx="92">
                  <c:v>154.1209845068455</c:v>
                </c:pt>
                <c:pt idx="93">
                  <c:v>153.29824732710526</c:v>
                </c:pt>
                <c:pt idx="94">
                  <c:v>152.48475305177601</c:v>
                </c:pt>
                <c:pt idx="95">
                  <c:v>151.68034679406736</c:v>
                </c:pt>
                <c:pt idx="96">
                  <c:v>150.88487710862674</c:v>
                </c:pt>
                <c:pt idx="97">
                  <c:v>150.09819589648527</c:v>
                </c:pt>
                <c:pt idx="98">
                  <c:v>149.32015831313734</c:v>
                </c:pt>
                <c:pt idx="99">
                  <c:v>148.55062267963316</c:v>
                </c:pt>
                <c:pt idx="100">
                  <c:v>147.78945039657023</c:v>
                </c:pt>
              </c:numCache>
            </c:numRef>
          </c:val>
          <c:smooth val="0"/>
        </c:ser>
        <c:ser>
          <c:idx val="0"/>
          <c:order val="1"/>
          <c:tx>
            <c:v>VIN-nom</c:v>
          </c:tx>
          <c:spPr>
            <a:ln w="28575">
              <a:solidFill>
                <a:srgbClr val="0000FF"/>
              </a:solidFill>
              <a:prstDash val="lgDash"/>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345.02683574736409</c:v>
                </c:pt>
                <c:pt idx="53">
                  <c:v>338.51689545024414</c:v>
                </c:pt>
                <c:pt idx="54">
                  <c:v>332.24806405301734</c:v>
                </c:pt>
                <c:pt idx="55">
                  <c:v>326.20719016114424</c:v>
                </c:pt>
                <c:pt idx="56">
                  <c:v>320.38206176540962</c:v>
                </c:pt>
                <c:pt idx="57">
                  <c:v>314.76132383970071</c:v>
                </c:pt>
                <c:pt idx="58">
                  <c:v>309.33440446315421</c:v>
                </c:pt>
                <c:pt idx="59">
                  <c:v>304.09144845530398</c:v>
                </c:pt>
                <c:pt idx="60">
                  <c:v>299.0232576477157</c:v>
                </c:pt>
                <c:pt idx="61">
                  <c:v>294.12123703053999</c:v>
                </c:pt>
                <c:pt idx="62">
                  <c:v>289.37734611069254</c:v>
                </c:pt>
                <c:pt idx="63">
                  <c:v>284.78405490258638</c:v>
                </c:pt>
                <c:pt idx="64">
                  <c:v>280.33430404473341</c:v>
                </c:pt>
                <c:pt idx="65">
                  <c:v>276.02146859789133</c:v>
                </c:pt>
                <c:pt idx="66">
                  <c:v>271.83932513428698</c:v>
                </c:pt>
                <c:pt idx="67">
                  <c:v>267.78202177407371</c:v>
                </c:pt>
                <c:pt idx="68">
                  <c:v>263.84405086563146</c:v>
                </c:pt>
                <c:pt idx="69">
                  <c:v>260.02022404149187</c:v>
                </c:pt>
                <c:pt idx="70">
                  <c:v>256.30564941232774</c:v>
                </c:pt>
                <c:pt idx="71">
                  <c:v>252.69571068821045</c:v>
                </c:pt>
                <c:pt idx="72">
                  <c:v>249.18604803976308</c:v>
                </c:pt>
                <c:pt idx="73">
                  <c:v>245.77254053236905</c:v>
                </c:pt>
                <c:pt idx="74">
                  <c:v>242.45128998463434</c:v>
                </c:pt>
                <c:pt idx="75">
                  <c:v>239.21860611817246</c:v>
                </c:pt>
                <c:pt idx="76">
                  <c:v>236.0709928797755</c:v>
                </c:pt>
                <c:pt idx="77">
                  <c:v>233.00513582938882</c:v>
                </c:pt>
                <c:pt idx="78">
                  <c:v>230.01789049824279</c:v>
                </c:pt>
                <c:pt idx="79">
                  <c:v>227.10627163117641</c:v>
                </c:pt>
                <c:pt idx="80">
                  <c:v>224.26744323578671</c:v>
                </c:pt>
                <c:pt idx="81">
                  <c:v>222.60018362933715</c:v>
                </c:pt>
                <c:pt idx="82">
                  <c:v>221.19171485436158</c:v>
                </c:pt>
                <c:pt idx="83">
                  <c:v>219.80166081074259</c:v>
                </c:pt>
                <c:pt idx="84">
                  <c:v>218.42966270461915</c:v>
                </c:pt>
                <c:pt idx="85">
                  <c:v>217.07537100300166</c:v>
                </c:pt>
                <c:pt idx="86">
                  <c:v>215.73844513689639</c:v>
                </c:pt>
                <c:pt idx="87">
                  <c:v>214.41855321577634</c:v>
                </c:pt>
                <c:pt idx="88">
                  <c:v>213.11537175289791</c:v>
                </c:pt>
                <c:pt idx="89">
                  <c:v>211.82858540098408</c:v>
                </c:pt>
                <c:pt idx="90">
                  <c:v>210.55788669782177</c:v>
                </c:pt>
                <c:pt idx="91">
                  <c:v>209.30297582134105</c:v>
                </c:pt>
                <c:pt idx="92">
                  <c:v>208.06356035376777</c:v>
                </c:pt>
                <c:pt idx="93">
                  <c:v>206.83935505445868</c:v>
                </c:pt>
                <c:pt idx="94">
                  <c:v>205.63008164104917</c:v>
                </c:pt>
                <c:pt idx="95">
                  <c:v>204.43546857856026</c:v>
                </c:pt>
                <c:pt idx="96">
                  <c:v>203.25525087613002</c:v>
                </c:pt>
                <c:pt idx="97">
                  <c:v>202.08916989104893</c:v>
                </c:pt>
                <c:pt idx="98">
                  <c:v>200.9369731397951</c:v>
                </c:pt>
                <c:pt idx="99">
                  <c:v>199.79841411577982</c:v>
                </c:pt>
                <c:pt idx="100">
                  <c:v>198.67325211352602</c:v>
                </c:pt>
              </c:numCache>
            </c:numRef>
          </c:val>
          <c:smooth val="0"/>
        </c:ser>
        <c:ser>
          <c:idx val="2"/>
          <c:order val="2"/>
          <c:tx>
            <c:v>VIN-max</c:v>
          </c:tx>
          <c:spPr>
            <a:ln>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Dual'!$AM$218:$AM$318</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Dual'!$CE$110:$CE$210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180.50859386086347</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Dual'!$CE$5:$CE$105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Dual'!$CE$218:$CE$318</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142007296"/>
        <c:axId val="141694848"/>
      </c:lineChart>
      <c:catAx>
        <c:axId val="142007296"/>
        <c:scaling>
          <c:orientation val="minMax"/>
        </c:scaling>
        <c:delete val="0"/>
        <c:axPos val="b"/>
        <c:majorGridlines>
          <c:spPr>
            <a:ln w="15875">
              <a:solidFill>
                <a:srgbClr val="969696"/>
              </a:solidFill>
              <a:prstDash val="sysDash"/>
            </a:ln>
          </c:spPr>
        </c:majorGridlines>
        <c:title>
          <c:tx>
            <c:rich>
              <a:bodyPr/>
              <a:lstStyle/>
              <a:p>
                <a:pPr>
                  <a:defRPr sz="1100" b="1" i="0" u="none" strike="noStrike" baseline="0">
                    <a:solidFill>
                      <a:schemeClr val="tx1"/>
                    </a:solidFill>
                    <a:latin typeface="Arial" pitchFamily="34" charset="0"/>
                    <a:ea typeface="Calibri"/>
                    <a:cs typeface="Arial" pitchFamily="34" charset="0"/>
                  </a:defRPr>
                </a:pPr>
                <a:r>
                  <a:rPr lang="en-US" sz="1600" b="1" i="0" baseline="0">
                    <a:effectLst/>
                  </a:rPr>
                  <a:t>% Total Rated Output Power</a:t>
                </a:r>
                <a:endParaRPr lang="en-US" sz="1100">
                  <a:effectLst/>
                </a:endParaRPr>
              </a:p>
            </c:rich>
          </c:tx>
          <c:layout>
            <c:manualLayout>
              <c:xMode val="edge"/>
              <c:yMode val="edge"/>
              <c:x val="0.3807068861449550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400" b="1" i="0" u="none" strike="noStrike" baseline="0">
                <a:solidFill>
                  <a:schemeClr val="tx1"/>
                </a:solidFill>
                <a:latin typeface="Arial" pitchFamily="34" charset="0"/>
                <a:ea typeface="Calibri"/>
                <a:cs typeface="Arial" pitchFamily="34" charset="0"/>
              </a:defRPr>
            </a:pPr>
            <a:endParaRPr lang="en-US"/>
          </a:p>
        </c:txPr>
        <c:crossAx val="141694848"/>
        <c:crosses val="autoZero"/>
        <c:auto val="1"/>
        <c:lblAlgn val="ctr"/>
        <c:lblOffset val="100"/>
        <c:tickLblSkip val="20"/>
        <c:tickMarkSkip val="10"/>
        <c:noMultiLvlLbl val="0"/>
      </c:catAx>
      <c:valAx>
        <c:axId val="141694848"/>
        <c:scaling>
          <c:orientation val="minMax"/>
          <c:max val="400"/>
          <c:min val="0"/>
        </c:scaling>
        <c:delete val="0"/>
        <c:axPos val="l"/>
        <c:majorGridlines>
          <c:spPr>
            <a:ln w="15875">
              <a:solidFill>
                <a:srgbClr val="808080"/>
              </a:solidFill>
              <a:prstDash val="solid"/>
            </a:ln>
          </c:spPr>
        </c:majorGridlines>
        <c:title>
          <c:tx>
            <c:rich>
              <a:bodyPr/>
              <a:lstStyle/>
              <a:p>
                <a:pPr>
                  <a:defRPr sz="1600" b="1" i="0" u="none" strike="noStrike" baseline="0">
                    <a:solidFill>
                      <a:schemeClr val="tx1"/>
                    </a:solidFill>
                    <a:latin typeface="Arial" pitchFamily="34" charset="0"/>
                    <a:ea typeface="Calibri"/>
                    <a:cs typeface="Arial" pitchFamily="34" charset="0"/>
                  </a:defRPr>
                </a:pPr>
                <a:r>
                  <a:rPr lang="en-US" sz="1600" b="1">
                    <a:solidFill>
                      <a:schemeClr val="tx1"/>
                    </a:solidFill>
                    <a:latin typeface="Arial" pitchFamily="34" charset="0"/>
                    <a:cs typeface="Arial" pitchFamily="34" charset="0"/>
                  </a:rPr>
                  <a:t>Switching</a:t>
                </a:r>
                <a:r>
                  <a:rPr lang="en-US" sz="1600" b="1" baseline="0">
                    <a:solidFill>
                      <a:schemeClr val="tx1"/>
                    </a:solidFill>
                    <a:latin typeface="Arial" pitchFamily="34" charset="0"/>
                    <a:cs typeface="Arial" pitchFamily="34" charset="0"/>
                  </a:rPr>
                  <a:t> Frquency (kHz)</a:t>
                </a:r>
                <a:endParaRPr lang="en-US" sz="1600" b="1">
                  <a:solidFill>
                    <a:schemeClr val="tx1"/>
                  </a:solidFill>
                  <a:latin typeface="Arial" pitchFamily="34" charset="0"/>
                  <a:cs typeface="Arial" pitchFamily="34" charset="0"/>
                </a:endParaRPr>
              </a:p>
            </c:rich>
          </c:tx>
          <c:layout>
            <c:manualLayout>
              <c:xMode val="edge"/>
              <c:yMode val="edge"/>
              <c:x val="8.5568128125503556E-3"/>
              <c:y val="0.22463146285493288"/>
            </c:manualLayout>
          </c:layout>
          <c:overlay val="0"/>
          <c:spPr>
            <a:noFill/>
            <a:ln w="25400">
              <a:noFill/>
            </a:ln>
          </c:spPr>
        </c:title>
        <c:numFmt formatCode="#,##0" sourceLinked="0"/>
        <c:majorTickMark val="in"/>
        <c:minorTickMark val="in"/>
        <c:tickLblPos val="nextTo"/>
        <c:spPr>
          <a:ln w="3175">
            <a:solidFill>
              <a:srgbClr val="000000"/>
            </a:solidFill>
            <a:prstDash val="solid"/>
          </a:ln>
        </c:spPr>
        <c:txPr>
          <a:bodyPr rot="0" vert="horz"/>
          <a:lstStyle/>
          <a:p>
            <a:pPr>
              <a:defRPr sz="1600" b="1" i="0" u="none" strike="noStrike" baseline="0">
                <a:solidFill>
                  <a:schemeClr val="tx1"/>
                </a:solidFill>
                <a:latin typeface="Arial" pitchFamily="34" charset="0"/>
                <a:ea typeface="Calibri"/>
                <a:cs typeface="Arial" pitchFamily="34" charset="0"/>
              </a:defRPr>
            </a:pPr>
            <a:endParaRPr lang="en-US"/>
          </a:p>
        </c:txPr>
        <c:crossAx val="142007296"/>
        <c:crossesAt val="0"/>
        <c:crossBetween val="between"/>
        <c:majorUnit val="50"/>
        <c:minorUnit val="25"/>
      </c:valAx>
      <c:spPr>
        <a:noFill/>
        <a:ln w="25400">
          <a:noFill/>
        </a:ln>
      </c:spPr>
    </c:plotArea>
    <c:legend>
      <c:legendPos val="t"/>
      <c:legendEntry>
        <c:idx val="9"/>
        <c:delete val="1"/>
      </c:legendEntry>
      <c:legendEntry>
        <c:idx val="10"/>
        <c:delete val="1"/>
      </c:legendEntry>
      <c:legendEntry>
        <c:idx val="11"/>
        <c:delete val="1"/>
      </c:legendEntry>
      <c:layout>
        <c:manualLayout>
          <c:xMode val="edge"/>
          <c:yMode val="edge"/>
          <c:x val="0.31430722044239789"/>
          <c:y val="1.5175029628150039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n-US"/>
              <a:t>FSW</a:t>
            </a:r>
            <a:r>
              <a:rPr lang="en-US" baseline="0"/>
              <a:t> vs. VIN</a:t>
            </a:r>
            <a:endParaRPr lang="en-US"/>
          </a:p>
        </c:rich>
      </c:tx>
      <c:layout>
        <c:manualLayout>
          <c:xMode val="edge"/>
          <c:yMode val="edge"/>
          <c:x val="0.46949559660480134"/>
          <c:y val="4.3950758924335628E-2"/>
        </c:manualLayout>
      </c:layout>
      <c:overlay val="0"/>
      <c:spPr>
        <a:noFill/>
        <a:ln w="25400">
          <a:noFill/>
        </a:ln>
      </c:spPr>
    </c:title>
    <c:autoTitleDeleted val="0"/>
    <c:plotArea>
      <c:layout>
        <c:manualLayout>
          <c:layoutTarget val="inner"/>
          <c:xMode val="edge"/>
          <c:yMode val="edge"/>
          <c:x val="0.11549893842887474"/>
          <c:y val="0.12692138023914851"/>
          <c:w val="0.81825902335456679"/>
          <c:h val="0.73598262282121851"/>
        </c:manualLayout>
      </c:layout>
      <c:scatterChart>
        <c:scatterStyle val="lineMarker"/>
        <c:varyColors val="0"/>
        <c:ser>
          <c:idx val="2"/>
          <c:order val="0"/>
          <c:tx>
            <c:strRef>
              <c:f>'Fsw vs VIN'!$M$5</c:f>
              <c:strCache>
                <c:ptCount val="1"/>
                <c:pt idx="0">
                  <c:v>Fsw-BCM (kHz) at Iout-max</c:v>
                </c:pt>
              </c:strCache>
            </c:strRef>
          </c:tx>
          <c:spPr>
            <a:ln w="25400">
              <a:solidFill>
                <a:srgbClr val="000080"/>
              </a:solidFill>
              <a:prstDash val="solid"/>
            </a:ln>
          </c:spPr>
          <c:marker>
            <c:symbol val="none"/>
          </c:marker>
          <c:xVal>
            <c:numRef>
              <c:f>'Fsw vs VIN'!$D$6:$D$106</c:f>
              <c:numCache>
                <c:formatCode>0.00</c:formatCode>
                <c:ptCount val="101"/>
                <c:pt idx="0">
                  <c:v>9</c:v>
                </c:pt>
                <c:pt idx="1">
                  <c:v>9.33</c:v>
                </c:pt>
                <c:pt idx="2">
                  <c:v>9.66</c:v>
                </c:pt>
                <c:pt idx="3">
                  <c:v>9.99</c:v>
                </c:pt>
                <c:pt idx="4">
                  <c:v>10.32</c:v>
                </c:pt>
                <c:pt idx="5">
                  <c:v>10.65</c:v>
                </c:pt>
                <c:pt idx="6">
                  <c:v>10.98</c:v>
                </c:pt>
                <c:pt idx="7">
                  <c:v>11.31</c:v>
                </c:pt>
                <c:pt idx="8">
                  <c:v>11.64</c:v>
                </c:pt>
                <c:pt idx="9">
                  <c:v>11.969999999999999</c:v>
                </c:pt>
                <c:pt idx="10">
                  <c:v>12.3</c:v>
                </c:pt>
                <c:pt idx="11">
                  <c:v>12.629999999999999</c:v>
                </c:pt>
                <c:pt idx="12">
                  <c:v>12.96</c:v>
                </c:pt>
                <c:pt idx="13">
                  <c:v>13.29</c:v>
                </c:pt>
                <c:pt idx="14">
                  <c:v>13.620000000000001</c:v>
                </c:pt>
                <c:pt idx="15">
                  <c:v>13.95</c:v>
                </c:pt>
                <c:pt idx="16">
                  <c:v>14.280000000000001</c:v>
                </c:pt>
                <c:pt idx="17">
                  <c:v>14.61</c:v>
                </c:pt>
                <c:pt idx="18">
                  <c:v>14.94</c:v>
                </c:pt>
                <c:pt idx="19">
                  <c:v>15.27</c:v>
                </c:pt>
                <c:pt idx="20">
                  <c:v>15.600000000000001</c:v>
                </c:pt>
                <c:pt idx="21">
                  <c:v>15.93</c:v>
                </c:pt>
                <c:pt idx="22">
                  <c:v>16.259999999999998</c:v>
                </c:pt>
                <c:pt idx="23">
                  <c:v>16.59</c:v>
                </c:pt>
                <c:pt idx="24">
                  <c:v>16.920000000000002</c:v>
                </c:pt>
                <c:pt idx="25">
                  <c:v>17.25</c:v>
                </c:pt>
                <c:pt idx="26">
                  <c:v>17.579999999999998</c:v>
                </c:pt>
                <c:pt idx="27">
                  <c:v>17.91</c:v>
                </c:pt>
                <c:pt idx="28">
                  <c:v>18.240000000000002</c:v>
                </c:pt>
                <c:pt idx="29">
                  <c:v>18.57</c:v>
                </c:pt>
                <c:pt idx="30">
                  <c:v>18.899999999999999</c:v>
                </c:pt>
                <c:pt idx="31">
                  <c:v>19.23</c:v>
                </c:pt>
                <c:pt idx="32">
                  <c:v>19.560000000000002</c:v>
                </c:pt>
                <c:pt idx="33">
                  <c:v>19.89</c:v>
                </c:pt>
                <c:pt idx="34">
                  <c:v>20.22</c:v>
                </c:pt>
                <c:pt idx="35">
                  <c:v>20.549999999999997</c:v>
                </c:pt>
                <c:pt idx="36">
                  <c:v>20.88</c:v>
                </c:pt>
                <c:pt idx="37">
                  <c:v>21.21</c:v>
                </c:pt>
                <c:pt idx="38">
                  <c:v>21.54</c:v>
                </c:pt>
                <c:pt idx="39">
                  <c:v>21.87</c:v>
                </c:pt>
                <c:pt idx="40">
                  <c:v>22.200000000000003</c:v>
                </c:pt>
                <c:pt idx="41">
                  <c:v>22.53</c:v>
                </c:pt>
                <c:pt idx="42">
                  <c:v>22.86</c:v>
                </c:pt>
                <c:pt idx="43">
                  <c:v>23.189999999999998</c:v>
                </c:pt>
                <c:pt idx="44">
                  <c:v>23.52</c:v>
                </c:pt>
                <c:pt idx="45">
                  <c:v>23.85</c:v>
                </c:pt>
                <c:pt idx="46">
                  <c:v>24.18</c:v>
                </c:pt>
                <c:pt idx="47">
                  <c:v>24.509999999999998</c:v>
                </c:pt>
                <c:pt idx="48">
                  <c:v>24.84</c:v>
                </c:pt>
                <c:pt idx="49">
                  <c:v>25.169999999999998</c:v>
                </c:pt>
                <c:pt idx="50">
                  <c:v>25.5</c:v>
                </c:pt>
                <c:pt idx="51">
                  <c:v>25.830000000000002</c:v>
                </c:pt>
                <c:pt idx="52">
                  <c:v>26.16</c:v>
                </c:pt>
                <c:pt idx="53">
                  <c:v>26.490000000000002</c:v>
                </c:pt>
                <c:pt idx="54">
                  <c:v>26.82</c:v>
                </c:pt>
                <c:pt idx="55">
                  <c:v>27.150000000000002</c:v>
                </c:pt>
                <c:pt idx="56">
                  <c:v>27.48</c:v>
                </c:pt>
                <c:pt idx="57">
                  <c:v>27.81</c:v>
                </c:pt>
                <c:pt idx="58">
                  <c:v>28.139999999999997</c:v>
                </c:pt>
                <c:pt idx="59">
                  <c:v>28.47</c:v>
                </c:pt>
                <c:pt idx="60">
                  <c:v>28.8</c:v>
                </c:pt>
                <c:pt idx="61">
                  <c:v>29.13</c:v>
                </c:pt>
                <c:pt idx="62">
                  <c:v>29.46</c:v>
                </c:pt>
                <c:pt idx="63">
                  <c:v>29.79</c:v>
                </c:pt>
                <c:pt idx="64">
                  <c:v>30.12</c:v>
                </c:pt>
                <c:pt idx="65">
                  <c:v>30.45</c:v>
                </c:pt>
                <c:pt idx="66">
                  <c:v>30.78</c:v>
                </c:pt>
                <c:pt idx="67">
                  <c:v>31.110000000000003</c:v>
                </c:pt>
                <c:pt idx="68">
                  <c:v>31.44</c:v>
                </c:pt>
                <c:pt idx="69">
                  <c:v>31.77</c:v>
                </c:pt>
                <c:pt idx="70">
                  <c:v>32.099999999999994</c:v>
                </c:pt>
                <c:pt idx="71">
                  <c:v>32.43</c:v>
                </c:pt>
                <c:pt idx="72">
                  <c:v>32.76</c:v>
                </c:pt>
                <c:pt idx="73">
                  <c:v>33.090000000000003</c:v>
                </c:pt>
                <c:pt idx="74">
                  <c:v>33.42</c:v>
                </c:pt>
                <c:pt idx="75">
                  <c:v>33.75</c:v>
                </c:pt>
                <c:pt idx="76">
                  <c:v>34.08</c:v>
                </c:pt>
                <c:pt idx="77">
                  <c:v>34.409999999999997</c:v>
                </c:pt>
                <c:pt idx="78">
                  <c:v>34.74</c:v>
                </c:pt>
                <c:pt idx="79">
                  <c:v>35.07</c:v>
                </c:pt>
                <c:pt idx="80">
                  <c:v>35.400000000000006</c:v>
                </c:pt>
                <c:pt idx="81">
                  <c:v>35.730000000000004</c:v>
                </c:pt>
                <c:pt idx="82">
                  <c:v>36.06</c:v>
                </c:pt>
                <c:pt idx="83">
                  <c:v>36.39</c:v>
                </c:pt>
                <c:pt idx="84">
                  <c:v>36.72</c:v>
                </c:pt>
                <c:pt idx="85">
                  <c:v>37.049999999999997</c:v>
                </c:pt>
                <c:pt idx="86">
                  <c:v>37.379999999999995</c:v>
                </c:pt>
                <c:pt idx="87">
                  <c:v>37.71</c:v>
                </c:pt>
                <c:pt idx="88">
                  <c:v>38.04</c:v>
                </c:pt>
                <c:pt idx="89">
                  <c:v>38.370000000000005</c:v>
                </c:pt>
                <c:pt idx="90">
                  <c:v>38.700000000000003</c:v>
                </c:pt>
                <c:pt idx="91">
                  <c:v>39.03</c:v>
                </c:pt>
                <c:pt idx="92">
                  <c:v>39.36</c:v>
                </c:pt>
                <c:pt idx="93">
                  <c:v>39.69</c:v>
                </c:pt>
                <c:pt idx="94">
                  <c:v>40.019999999999996</c:v>
                </c:pt>
                <c:pt idx="95">
                  <c:v>40.349999999999994</c:v>
                </c:pt>
                <c:pt idx="96">
                  <c:v>40.68</c:v>
                </c:pt>
                <c:pt idx="97">
                  <c:v>41.01</c:v>
                </c:pt>
                <c:pt idx="98">
                  <c:v>41.339999999999996</c:v>
                </c:pt>
                <c:pt idx="99">
                  <c:v>41.67</c:v>
                </c:pt>
                <c:pt idx="100">
                  <c:v>42</c:v>
                </c:pt>
              </c:numCache>
            </c:numRef>
          </c:xVal>
          <c:yVal>
            <c:numRef>
              <c:f>'Fsw vs VIN'!$M$6:$M$106</c:f>
              <c:numCache>
                <c:formatCode>0.0</c:formatCode>
                <c:ptCount val="101"/>
                <c:pt idx="0">
                  <c:v>350</c:v>
                </c:pt>
                <c:pt idx="1">
                  <c:v>350</c:v>
                </c:pt>
                <c:pt idx="2">
                  <c:v>350</c:v>
                </c:pt>
                <c:pt idx="3">
                  <c:v>350</c:v>
                </c:pt>
                <c:pt idx="4">
                  <c:v>350</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yVal>
          <c:smooth val="0"/>
        </c:ser>
        <c:dLbls>
          <c:showLegendKey val="0"/>
          <c:showVal val="0"/>
          <c:showCatName val="0"/>
          <c:showSerName val="0"/>
          <c:showPercent val="0"/>
          <c:showBubbleSize val="0"/>
        </c:dLbls>
        <c:axId val="141725056"/>
        <c:axId val="141751808"/>
      </c:scatterChart>
      <c:valAx>
        <c:axId val="141725056"/>
        <c:scaling>
          <c:orientation val="minMax"/>
        </c:scaling>
        <c:delete val="0"/>
        <c:axPos val="b"/>
        <c:majorGridlines/>
        <c:title>
          <c:tx>
            <c:rich>
              <a:bodyPr/>
              <a:lstStyle/>
              <a:p>
                <a:pPr>
                  <a:defRPr sz="1100" b="1" i="0" u="none" strike="noStrike" baseline="0">
                    <a:solidFill>
                      <a:srgbClr val="000000"/>
                    </a:solidFill>
                    <a:latin typeface="Arial"/>
                    <a:ea typeface="Arial"/>
                    <a:cs typeface="Arial"/>
                  </a:defRPr>
                </a:pPr>
                <a:r>
                  <a:rPr lang="en-US" sz="1100"/>
                  <a:t>VIN (V)</a:t>
                </a:r>
              </a:p>
            </c:rich>
          </c:tx>
          <c:layout>
            <c:manualLayout>
              <c:xMode val="edge"/>
              <c:yMode val="edge"/>
              <c:x val="0.48841805795509147"/>
              <c:y val="0.928122229770017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Arial"/>
                <a:ea typeface="Arial"/>
                <a:cs typeface="Arial"/>
              </a:defRPr>
            </a:pPr>
            <a:endParaRPr lang="en-US"/>
          </a:p>
        </c:txPr>
        <c:crossAx val="141751808"/>
        <c:crosses val="autoZero"/>
        <c:crossBetween val="midCat"/>
      </c:valAx>
      <c:valAx>
        <c:axId val="141751808"/>
        <c:scaling>
          <c:orientation val="minMax"/>
        </c:scaling>
        <c:delete val="0"/>
        <c:axPos val="l"/>
        <c:majorGridlines>
          <c:spPr>
            <a:ln w="3175">
              <a:solidFill>
                <a:srgbClr val="000000"/>
              </a:solidFill>
              <a:prstDash val="solid"/>
            </a:ln>
          </c:spPr>
        </c:majorGridlines>
        <c:title>
          <c:tx>
            <c:rich>
              <a:bodyPr/>
              <a:lstStyle/>
              <a:p>
                <a:pPr>
                  <a:defRPr sz="1100" b="1" i="0" u="none" strike="noStrike" baseline="0">
                    <a:solidFill>
                      <a:srgbClr val="000000"/>
                    </a:solidFill>
                    <a:latin typeface="Arial"/>
                    <a:ea typeface="Arial"/>
                    <a:cs typeface="Arial"/>
                  </a:defRPr>
                </a:pPr>
                <a:r>
                  <a:rPr lang="en-US" sz="1100"/>
                  <a:t>FSw</a:t>
                </a:r>
                <a:r>
                  <a:rPr lang="en-US" sz="1100" baseline="0"/>
                  <a:t> (kHz)</a:t>
                </a:r>
                <a:endParaRPr lang="en-US" sz="1100"/>
              </a:p>
            </c:rich>
          </c:tx>
          <c:layout>
            <c:manualLayout>
              <c:xMode val="edge"/>
              <c:yMode val="edge"/>
              <c:x val="1.910828025477734E-2"/>
              <c:y val="0.37298429430192825"/>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n-US"/>
          </a:p>
        </c:txPr>
        <c:crossAx val="141725056"/>
        <c:crosses val="autoZero"/>
        <c:crossBetween val="midCat"/>
      </c:valAx>
      <c:spPr>
        <a:solidFill>
          <a:schemeClr val="bg1">
            <a:lumMod val="95000"/>
          </a:schemeClr>
        </a:solidFill>
        <a:ln w="12700">
          <a:solidFill>
            <a:srgbClr val="808080"/>
          </a:solidFill>
          <a:prstDash val="solid"/>
        </a:ln>
      </c:spPr>
    </c:plotArea>
    <c:legend>
      <c:legendPos val="r"/>
      <c:layout>
        <c:manualLayout>
          <c:xMode val="edge"/>
          <c:yMode val="edge"/>
          <c:x val="0.13445630576004464"/>
          <c:y val="0.14722888183191415"/>
          <c:w val="0.26461167950535469"/>
          <c:h val="0.1507769164159414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822" r="0.750000000000008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sz="2000"/>
              <a:t>Breakdown of COT Efficiency Losses vs. Iout</a:t>
            </a:r>
          </a:p>
        </c:rich>
      </c:tx>
      <c:layout>
        <c:manualLayout>
          <c:xMode val="edge"/>
          <c:yMode val="edge"/>
          <c:x val="0.21668095607596721"/>
          <c:y val="3.0815438913941871E-2"/>
        </c:manualLayout>
      </c:layout>
      <c:overlay val="0"/>
      <c:spPr>
        <a:noFill/>
        <a:ln w="25400">
          <a:noFill/>
        </a:ln>
      </c:spPr>
    </c:title>
    <c:autoTitleDeleted val="0"/>
    <c:plotArea>
      <c:layout>
        <c:manualLayout>
          <c:layoutTarget val="inner"/>
          <c:xMode val="edge"/>
          <c:yMode val="edge"/>
          <c:x val="0.18496430825131774"/>
          <c:y val="0.14694417652807107"/>
          <c:w val="0.46181411156941887"/>
          <c:h val="0.69570915435856628"/>
        </c:manualLayout>
      </c:layout>
      <c:areaChart>
        <c:grouping val="percentStacked"/>
        <c:varyColors val="0"/>
        <c:ser>
          <c:idx val="1"/>
          <c:order val="0"/>
          <c:tx>
            <c:strRef>
              <c:f>Parameters!$BI$5</c:f>
              <c:strCache>
                <c:ptCount val="1"/>
                <c:pt idx="0">
                  <c:v>Cin Cout ESR %</c:v>
                </c:pt>
              </c:strCache>
            </c:strRef>
          </c:tx>
          <c:spPr>
            <a:solidFill>
              <a:srgbClr val="FFFF00"/>
            </a:solidFill>
            <a:ln w="12700">
              <a:solidFill>
                <a:srgbClr val="000000"/>
              </a:solidFill>
              <a:prstDash val="solid"/>
            </a:ln>
          </c:spPr>
          <c:val>
            <c:numRef>
              <c:f>Parameters!$BI$6:$BI$106</c:f>
              <c:numCache>
                <c:formatCode>0.000%</c:formatCode>
                <c:ptCount val="101"/>
                <c:pt idx="0">
                  <c:v>0</c:v>
                </c:pt>
                <c:pt idx="1">
                  <c:v>0</c:v>
                </c:pt>
                <c:pt idx="2">
                  <c:v>0</c:v>
                </c:pt>
                <c:pt idx="3">
                  <c:v>0</c:v>
                </c:pt>
                <c:pt idx="100">
                  <c:v>0</c:v>
                </c:pt>
              </c:numCache>
            </c:numRef>
          </c:val>
        </c:ser>
        <c:ser>
          <c:idx val="3"/>
          <c:order val="1"/>
          <c:tx>
            <c:strRef>
              <c:f>Parameters!$BF$5</c:f>
              <c:strCache>
                <c:ptCount val="1"/>
                <c:pt idx="0">
                  <c:v>Deadtime Loss %</c:v>
                </c:pt>
              </c:strCache>
            </c:strRef>
          </c:tx>
          <c:spPr>
            <a:solidFill>
              <a:srgbClr val="666699"/>
            </a:solidFill>
            <a:ln w="12700">
              <a:solidFill>
                <a:srgbClr val="000000"/>
              </a:solidFill>
              <a:prstDash val="solid"/>
            </a:ln>
          </c:spPr>
          <c:val>
            <c:numRef>
              <c:f>Parameters!$BF$6:$BF$106</c:f>
              <c:numCache>
                <c:formatCode>0.000%</c:formatCode>
                <c:ptCount val="101"/>
                <c:pt idx="0">
                  <c:v>0</c:v>
                </c:pt>
                <c:pt idx="1">
                  <c:v>0</c:v>
                </c:pt>
                <c:pt idx="2">
                  <c:v>0</c:v>
                </c:pt>
                <c:pt idx="3">
                  <c:v>0</c:v>
                </c:pt>
                <c:pt idx="100">
                  <c:v>0</c:v>
                </c:pt>
              </c:numCache>
            </c:numRef>
          </c:val>
        </c:ser>
        <c:ser>
          <c:idx val="6"/>
          <c:order val="2"/>
          <c:tx>
            <c:strRef>
              <c:f>Parameters!$BA$5</c:f>
              <c:strCache>
                <c:ptCount val="1"/>
                <c:pt idx="0">
                  <c:v>High-side MOSFET Rdson %</c:v>
                </c:pt>
              </c:strCache>
            </c:strRef>
          </c:tx>
          <c:spPr>
            <a:solidFill>
              <a:srgbClr val="FF0000"/>
            </a:solidFill>
            <a:ln w="12700">
              <a:solidFill>
                <a:srgbClr val="000000"/>
              </a:solidFill>
              <a:prstDash val="solid"/>
            </a:ln>
          </c:spPr>
          <c:val>
            <c:numRef>
              <c:f>Parameters!$BA$6:$BA$106</c:f>
              <c:numCache>
                <c:formatCode>0.000%</c:formatCode>
                <c:ptCount val="101"/>
                <c:pt idx="0">
                  <c:v>0</c:v>
                </c:pt>
                <c:pt idx="1">
                  <c:v>0</c:v>
                </c:pt>
                <c:pt idx="2">
                  <c:v>0</c:v>
                </c:pt>
                <c:pt idx="3">
                  <c:v>0</c:v>
                </c:pt>
                <c:pt idx="100">
                  <c:v>0</c:v>
                </c:pt>
              </c:numCache>
            </c:numRef>
          </c:val>
        </c:ser>
        <c:ser>
          <c:idx val="7"/>
          <c:order val="3"/>
          <c:tx>
            <c:strRef>
              <c:f>Parameters!$BB$5</c:f>
              <c:strCache>
                <c:ptCount val="1"/>
                <c:pt idx="0">
                  <c:v>Low-side MOSFET Rdson %</c:v>
                </c:pt>
              </c:strCache>
            </c:strRef>
          </c:tx>
          <c:spPr>
            <a:solidFill>
              <a:srgbClr val="FF6600"/>
            </a:solidFill>
            <a:ln w="12700">
              <a:solidFill>
                <a:srgbClr val="000000"/>
              </a:solidFill>
              <a:prstDash val="solid"/>
            </a:ln>
          </c:spPr>
          <c:val>
            <c:numRef>
              <c:f>Parameters!$BB$6:$BB$106</c:f>
              <c:numCache>
                <c:formatCode>0.000%</c:formatCode>
                <c:ptCount val="101"/>
                <c:pt idx="0">
                  <c:v>0</c:v>
                </c:pt>
                <c:pt idx="1">
                  <c:v>0</c:v>
                </c:pt>
                <c:pt idx="2">
                  <c:v>0</c:v>
                </c:pt>
                <c:pt idx="3">
                  <c:v>0</c:v>
                </c:pt>
                <c:pt idx="100">
                  <c:v>0</c:v>
                </c:pt>
              </c:numCache>
            </c:numRef>
          </c:val>
        </c:ser>
        <c:ser>
          <c:idx val="4"/>
          <c:order val="4"/>
          <c:tx>
            <c:strRef>
              <c:f>Parameters!$BH$5</c:f>
              <c:strCache>
                <c:ptCount val="1"/>
                <c:pt idx="0">
                  <c:v>Inductor Core Loss %</c:v>
                </c:pt>
              </c:strCache>
            </c:strRef>
          </c:tx>
          <c:spPr>
            <a:solidFill>
              <a:srgbClr val="99CC00"/>
            </a:solidFill>
            <a:ln w="12700">
              <a:solidFill>
                <a:srgbClr val="000000"/>
              </a:solidFill>
              <a:prstDash val="solid"/>
            </a:ln>
          </c:spPr>
          <c:val>
            <c:numRef>
              <c:f>Parameters!$BH$6:$BH$106</c:f>
              <c:numCache>
                <c:formatCode>0.000%</c:formatCode>
                <c:ptCount val="101"/>
                <c:pt idx="0">
                  <c:v>0</c:v>
                </c:pt>
                <c:pt idx="1">
                  <c:v>0</c:v>
                </c:pt>
                <c:pt idx="2">
                  <c:v>0</c:v>
                </c:pt>
                <c:pt idx="3">
                  <c:v>0</c:v>
                </c:pt>
                <c:pt idx="100">
                  <c:v>0</c:v>
                </c:pt>
              </c:numCache>
            </c:numRef>
          </c:val>
        </c:ser>
        <c:ser>
          <c:idx val="8"/>
          <c:order val="5"/>
          <c:tx>
            <c:strRef>
              <c:f>Parameters!$BG$5</c:f>
              <c:strCache>
                <c:ptCount val="1"/>
                <c:pt idx="0">
                  <c:v>Inductor Cu Loss %</c:v>
                </c:pt>
              </c:strCache>
            </c:strRef>
          </c:tx>
          <c:spPr>
            <a:solidFill>
              <a:srgbClr val="00FF00"/>
            </a:solidFill>
            <a:ln w="12700">
              <a:solidFill>
                <a:srgbClr val="000000"/>
              </a:solidFill>
              <a:prstDash val="solid"/>
            </a:ln>
          </c:spPr>
          <c:val>
            <c:numRef>
              <c:f>Parameters!$BG$6:$BG$106</c:f>
              <c:numCache>
                <c:formatCode>0.000%</c:formatCode>
                <c:ptCount val="101"/>
                <c:pt idx="0">
                  <c:v>0</c:v>
                </c:pt>
                <c:pt idx="1">
                  <c:v>0</c:v>
                </c:pt>
                <c:pt idx="2">
                  <c:v>0</c:v>
                </c:pt>
                <c:pt idx="3">
                  <c:v>0</c:v>
                </c:pt>
                <c:pt idx="100">
                  <c:v>0</c:v>
                </c:pt>
              </c:numCache>
            </c:numRef>
          </c:val>
        </c:ser>
        <c:ser>
          <c:idx val="2"/>
          <c:order val="6"/>
          <c:tx>
            <c:strRef>
              <c:f>Parameters!$BC$5</c:f>
              <c:strCache>
                <c:ptCount val="1"/>
                <c:pt idx="0">
                  <c:v>Gate Drive (Qg) Loss from Vin %</c:v>
                </c:pt>
              </c:strCache>
            </c:strRef>
          </c:tx>
          <c:spPr>
            <a:solidFill>
              <a:srgbClr val="00FFFF"/>
            </a:solidFill>
            <a:ln w="12700">
              <a:solidFill>
                <a:srgbClr val="000000"/>
              </a:solidFill>
              <a:prstDash val="solid"/>
            </a:ln>
          </c:spPr>
          <c:val>
            <c:numRef>
              <c:f>Parameters!$BC$6:$BC$106</c:f>
              <c:numCache>
                <c:formatCode>0.000%</c:formatCode>
                <c:ptCount val="101"/>
                <c:pt idx="0">
                  <c:v>0</c:v>
                </c:pt>
                <c:pt idx="1">
                  <c:v>0</c:v>
                </c:pt>
                <c:pt idx="2">
                  <c:v>0</c:v>
                </c:pt>
                <c:pt idx="3">
                  <c:v>0</c:v>
                </c:pt>
                <c:pt idx="100">
                  <c:v>0</c:v>
                </c:pt>
              </c:numCache>
            </c:numRef>
          </c:val>
        </c:ser>
        <c:ser>
          <c:idx val="5"/>
          <c:order val="7"/>
          <c:tx>
            <c:strRef>
              <c:f>Parameters!$BD$5</c:f>
              <c:strCache>
                <c:ptCount val="1"/>
                <c:pt idx="0">
                  <c:v>High-side MOSFET Switching Loss %</c:v>
                </c:pt>
              </c:strCache>
            </c:strRef>
          </c:tx>
          <c:spPr>
            <a:solidFill>
              <a:srgbClr val="0000FF"/>
            </a:solidFill>
            <a:ln w="12700">
              <a:solidFill>
                <a:srgbClr val="000000"/>
              </a:solidFill>
              <a:prstDash val="solid"/>
            </a:ln>
          </c:spPr>
          <c:val>
            <c:numRef>
              <c:f>Parameters!$BD$6:$BD$106</c:f>
              <c:numCache>
                <c:formatCode>0.000%</c:formatCode>
                <c:ptCount val="101"/>
                <c:pt idx="0">
                  <c:v>0</c:v>
                </c:pt>
                <c:pt idx="1">
                  <c:v>0</c:v>
                </c:pt>
                <c:pt idx="2">
                  <c:v>0</c:v>
                </c:pt>
                <c:pt idx="3">
                  <c:v>0</c:v>
                </c:pt>
                <c:pt idx="100">
                  <c:v>0</c:v>
                </c:pt>
              </c:numCache>
            </c:numRef>
          </c:val>
        </c:ser>
        <c:ser>
          <c:idx val="10"/>
          <c:order val="8"/>
          <c:tx>
            <c:strRef>
              <c:f>Parameters!$BE$5</c:f>
              <c:strCache>
                <c:ptCount val="1"/>
                <c:pt idx="0">
                  <c:v>Reverse Recovery &amp; Leakage Loss %</c:v>
                </c:pt>
              </c:strCache>
            </c:strRef>
          </c:tx>
          <c:spPr>
            <a:solidFill>
              <a:srgbClr val="FFFF00"/>
            </a:solidFill>
            <a:ln w="12700">
              <a:solidFill>
                <a:srgbClr val="000000"/>
              </a:solidFill>
              <a:prstDash val="solid"/>
            </a:ln>
          </c:spPr>
          <c:val>
            <c:numRef>
              <c:f>Parameters!$BE$6:$BE$106</c:f>
              <c:numCache>
                <c:formatCode>0.000%</c:formatCode>
                <c:ptCount val="101"/>
                <c:pt idx="0">
                  <c:v>0</c:v>
                </c:pt>
                <c:pt idx="1">
                  <c:v>0</c:v>
                </c:pt>
                <c:pt idx="2">
                  <c:v>0</c:v>
                </c:pt>
                <c:pt idx="3">
                  <c:v>0</c:v>
                </c:pt>
                <c:pt idx="100">
                  <c:v>0</c:v>
                </c:pt>
              </c:numCache>
            </c:numRef>
          </c:val>
        </c:ser>
        <c:ser>
          <c:idx val="0"/>
          <c:order val="9"/>
          <c:tx>
            <c:strRef>
              <c:f>Parameters!$BJ$5</c:f>
              <c:strCache>
                <c:ptCount val="1"/>
                <c:pt idx="0">
                  <c:v>Quiescent Current Loss %</c:v>
                </c:pt>
              </c:strCache>
            </c:strRef>
          </c:tx>
          <c:val>
            <c:numRef>
              <c:f>Parameters!$BJ$6:$BJ$106</c:f>
              <c:numCache>
                <c:formatCode>0.00%</c:formatCode>
                <c:ptCount val="101"/>
                <c:pt idx="0">
                  <c:v>0</c:v>
                </c:pt>
                <c:pt idx="1">
                  <c:v>0</c:v>
                </c:pt>
                <c:pt idx="2">
                  <c:v>0</c:v>
                </c:pt>
                <c:pt idx="3">
                  <c:v>0</c:v>
                </c:pt>
                <c:pt idx="100">
                  <c:v>0</c:v>
                </c:pt>
              </c:numCache>
            </c:numRef>
          </c:val>
        </c:ser>
        <c:ser>
          <c:idx val="9"/>
          <c:order val="10"/>
          <c:tx>
            <c:strRef>
              <c:f>Parameters!$BL$5</c:f>
              <c:strCache>
                <c:ptCount val="1"/>
                <c:pt idx="0">
                  <c:v>Overall Eff %</c:v>
                </c:pt>
              </c:strCache>
            </c:strRef>
          </c:tx>
          <c:spPr>
            <a:solidFill>
              <a:srgbClr val="000000"/>
            </a:solidFill>
            <a:ln w="12700">
              <a:solidFill>
                <a:srgbClr val="000000"/>
              </a:solidFill>
              <a:prstDash val="solid"/>
            </a:ln>
          </c:spPr>
          <c:val>
            <c:numRef>
              <c:f>Parameters!$BL$6:$BL$106</c:f>
              <c:numCache>
                <c:formatCode>0.00%</c:formatCode>
                <c:ptCount val="101"/>
                <c:pt idx="0">
                  <c:v>1</c:v>
                </c:pt>
                <c:pt idx="1">
                  <c:v>1</c:v>
                </c:pt>
                <c:pt idx="2">
                  <c:v>1</c:v>
                </c:pt>
                <c:pt idx="3">
                  <c:v>1</c:v>
                </c:pt>
                <c:pt idx="100">
                  <c:v>1</c:v>
                </c:pt>
              </c:numCache>
            </c:numRef>
          </c:val>
        </c:ser>
        <c:dLbls>
          <c:showLegendKey val="0"/>
          <c:showVal val="0"/>
          <c:showCatName val="0"/>
          <c:showSerName val="0"/>
          <c:showPercent val="0"/>
          <c:showBubbleSize val="0"/>
        </c:dLbls>
        <c:axId val="160311936"/>
        <c:axId val="160322304"/>
      </c:areaChart>
      <c:catAx>
        <c:axId val="160311936"/>
        <c:scaling>
          <c:orientation val="minMax"/>
        </c:scaling>
        <c:delete val="0"/>
        <c:axPos val="b"/>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I</a:t>
                </a:r>
                <a:r>
                  <a:rPr lang="en-US" baseline="-25000"/>
                  <a:t>OUT</a:t>
                </a:r>
                <a:r>
                  <a:rPr lang="en-US"/>
                  <a:t> (log)</a:t>
                </a:r>
              </a:p>
            </c:rich>
          </c:tx>
          <c:layout>
            <c:manualLayout>
              <c:xMode val="edge"/>
              <c:yMode val="edge"/>
              <c:x val="0.37238179041606823"/>
              <c:y val="0.89147900498075083"/>
            </c:manualLayout>
          </c:layout>
          <c:overlay val="0"/>
          <c:spPr>
            <a:noFill/>
            <a:ln w="25400">
              <a:noFill/>
            </a:ln>
          </c:spPr>
        </c:title>
        <c:numFmt formatCode="#,##0" sourceLinked="0"/>
        <c:majorTickMark val="out"/>
        <c:minorTickMark val="none"/>
        <c:tickLblPos val="none"/>
        <c:spPr>
          <a:ln w="3175">
            <a:solidFill>
              <a:srgbClr val="000000"/>
            </a:solidFill>
            <a:prstDash val="solid"/>
          </a:ln>
        </c:spPr>
        <c:txPr>
          <a:bodyPr rot="-5400000" vert="horz"/>
          <a:lstStyle/>
          <a:p>
            <a:pPr>
              <a:defRPr sz="1725" b="0" i="0" u="none" strike="noStrike" baseline="0">
                <a:solidFill>
                  <a:srgbClr val="000000"/>
                </a:solidFill>
                <a:latin typeface="Arial"/>
                <a:ea typeface="Arial"/>
                <a:cs typeface="Arial"/>
              </a:defRPr>
            </a:pPr>
            <a:endParaRPr lang="en-US"/>
          </a:p>
        </c:txPr>
        <c:crossAx val="160322304"/>
        <c:crosses val="autoZero"/>
        <c:auto val="1"/>
        <c:lblAlgn val="ctr"/>
        <c:lblOffset val="100"/>
        <c:tickMarkSkip val="1"/>
        <c:noMultiLvlLbl val="0"/>
      </c:catAx>
      <c:valAx>
        <c:axId val="160322304"/>
        <c:scaling>
          <c:orientation val="minMax"/>
          <c:max val="0.2"/>
          <c:min val="0"/>
        </c:scaling>
        <c:delete val="0"/>
        <c:axPos val="l"/>
        <c:majorGridlines>
          <c:spPr>
            <a:ln w="3175">
              <a:solidFill>
                <a:srgbClr val="000000"/>
              </a:solidFill>
              <a:prstDash val="solid"/>
            </a:ln>
          </c:spPr>
        </c:majorGridlines>
        <c:minorGridlines/>
        <c:title>
          <c:tx>
            <c:rich>
              <a:bodyPr/>
              <a:lstStyle/>
              <a:p>
                <a:pPr>
                  <a:defRPr sz="1725" b="1" i="0" u="none" strike="noStrike" baseline="0">
                    <a:solidFill>
                      <a:srgbClr val="000000"/>
                    </a:solidFill>
                    <a:latin typeface="Arial"/>
                    <a:ea typeface="Arial"/>
                    <a:cs typeface="Arial"/>
                  </a:defRPr>
                </a:pPr>
                <a:r>
                  <a:rPr lang="en-US"/>
                  <a:t>Efficiency (%)</a:t>
                </a:r>
              </a:p>
            </c:rich>
          </c:tx>
          <c:layout>
            <c:manualLayout>
              <c:xMode val="edge"/>
              <c:yMode val="edge"/>
              <c:x val="8.9796428919729693E-2"/>
              <c:y val="0.3456705164996208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60311936"/>
        <c:crosses val="autoZero"/>
        <c:crossBetween val="midCat"/>
        <c:majorUnit val="5.000000000000001E-2"/>
        <c:minorUnit val="2.5000000000000005E-2"/>
      </c:valAx>
      <c:spPr>
        <a:solidFill>
          <a:srgbClr val="C0C0C0"/>
        </a:solidFill>
        <a:ln w="12700">
          <a:solidFill>
            <a:srgbClr val="808080"/>
          </a:solidFill>
          <a:prstDash val="solid"/>
        </a:ln>
      </c:spPr>
    </c:plotArea>
    <c:legend>
      <c:legendPos val="r"/>
      <c:layout>
        <c:manualLayout>
          <c:xMode val="edge"/>
          <c:yMode val="edge"/>
          <c:x val="0.70666185810743165"/>
          <c:y val="9.3155590739667823E-2"/>
          <c:w val="0.26010897805044486"/>
          <c:h val="0.85864261581306134"/>
        </c:manualLayout>
      </c:layout>
      <c:overlay val="0"/>
      <c:spPr>
        <a:solidFill>
          <a:srgbClr val="FFFFFF"/>
        </a:solidFill>
        <a:ln w="3175">
          <a:solidFill>
            <a:srgbClr val="000000"/>
          </a:solidFill>
          <a:prstDash val="solid"/>
        </a:ln>
      </c:spPr>
      <c:txPr>
        <a:bodyPr/>
        <a:lstStyle/>
        <a:p>
          <a:pPr>
            <a:defRPr sz="13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t>Breakdown of </a:t>
            </a:r>
            <a:r>
              <a:rPr lang="en-US" sz="1800" b="1" i="0" baseline="0">
                <a:solidFill>
                  <a:srgbClr val="FF0000"/>
                </a:solidFill>
              </a:rPr>
              <a:t>COT</a:t>
            </a:r>
            <a:r>
              <a:rPr lang="en-US" sz="1800" b="1" i="0" baseline="0"/>
              <a:t> Efficiency Losses (</a:t>
            </a:r>
            <a:r>
              <a:rPr lang="en-US" sz="1800" b="1" i="0" u="none" strike="noStrike" baseline="0"/>
              <a:t>I</a:t>
            </a:r>
            <a:r>
              <a:rPr lang="en-US" sz="1800" b="1" i="0" u="none" strike="noStrike" baseline="-25000"/>
              <a:t>OUT</a:t>
            </a:r>
            <a:r>
              <a:rPr lang="en-US" sz="1800" b="1" i="0" u="none" strike="noStrike" baseline="0"/>
              <a:t> = </a:t>
            </a:r>
            <a:r>
              <a:rPr lang="en-US" sz="1800" b="1" i="0" baseline="0"/>
              <a:t>100mA)</a:t>
            </a:r>
            <a:endParaRPr lang="en-US" sz="1800"/>
          </a:p>
        </c:rich>
      </c:tx>
      <c:layout>
        <c:manualLayout>
          <c:xMode val="edge"/>
          <c:yMode val="edge"/>
          <c:x val="0.32963167587477016"/>
          <c:y val="3.5906642728904876E-2"/>
        </c:manualLayout>
      </c:layout>
      <c:overlay val="0"/>
    </c:title>
    <c:autoTitleDeleted val="0"/>
    <c:plotArea>
      <c:layout>
        <c:manualLayout>
          <c:layoutTarget val="inner"/>
          <c:xMode val="edge"/>
          <c:yMode val="edge"/>
          <c:x val="9.2844202898550721E-2"/>
          <c:y val="0.14821658962288614"/>
          <c:w val="0.89442960513913661"/>
          <c:h val="0.76382419881536368"/>
        </c:manualLayout>
      </c:layout>
      <c:barChart>
        <c:barDir val="col"/>
        <c:grouping val="clustered"/>
        <c:varyColors val="0"/>
        <c:ser>
          <c:idx val="6"/>
          <c:order val="0"/>
          <c:tx>
            <c:strRef>
              <c:f>Parameters!$BA$5</c:f>
              <c:strCache>
                <c:ptCount val="1"/>
                <c:pt idx="0">
                  <c:v>High-side MOSFET Rdson %</c:v>
                </c:pt>
              </c:strCache>
            </c:strRef>
          </c:tx>
          <c:spPr>
            <a:solidFill>
              <a:srgbClr val="FF0000"/>
            </a:solidFill>
            <a:ln w="12700">
              <a:solidFill>
                <a:srgbClr val="000000"/>
              </a:solidFill>
              <a:prstDash val="solid"/>
            </a:ln>
          </c:spPr>
          <c:invertIfNegative val="0"/>
          <c:dLbls>
            <c:dLbl>
              <c:idx val="0"/>
              <c:tx>
                <c:rich>
                  <a:bodyPr/>
                  <a:lstStyle/>
                  <a:p>
                    <a:r>
                      <a:rPr lang="en-US"/>
                      <a:t>High-side MOSFET</a:t>
                    </a:r>
                  </a:p>
                  <a:p>
                    <a:r>
                      <a:rPr lang="en-US"/>
                      <a:t>Rdson</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1"/>
            <c:showPercent val="0"/>
            <c:showBubbleSize val="0"/>
            <c:showLeaderLines val="0"/>
          </c:dLbls>
          <c:val>
            <c:numRef>
              <c:f>Parameters!$BA$109</c:f>
              <c:numCache>
                <c:formatCode>0.000%</c:formatCode>
                <c:ptCount val="1"/>
                <c:pt idx="0">
                  <c:v>8.1000709018000279E-3</c:v>
                </c:pt>
              </c:numCache>
            </c:numRef>
          </c:val>
        </c:ser>
        <c:ser>
          <c:idx val="5"/>
          <c:order val="1"/>
          <c:tx>
            <c:strRef>
              <c:f>Parameters!$BD$5</c:f>
              <c:strCache>
                <c:ptCount val="1"/>
                <c:pt idx="0">
                  <c:v>High-side MOSFET Switching Loss %</c:v>
                </c:pt>
              </c:strCache>
            </c:strRef>
          </c:tx>
          <c:spPr>
            <a:solidFill>
              <a:srgbClr val="0000FF"/>
            </a:solidFill>
            <a:ln w="12700">
              <a:solidFill>
                <a:srgbClr val="000000"/>
              </a:solidFill>
              <a:prstDash val="solid"/>
            </a:ln>
          </c:spPr>
          <c:invertIfNegative val="0"/>
          <c:dLbls>
            <c:dLbl>
              <c:idx val="0"/>
              <c:layout>
                <c:manualLayout>
                  <c:x val="-9.2081031307550637E-4"/>
                  <c:y val="-7.1813285457809741E-3"/>
                </c:manualLayout>
              </c:layout>
              <c:tx>
                <c:rich>
                  <a:bodyPr/>
                  <a:lstStyle/>
                  <a:p>
                    <a:r>
                      <a:rPr lang="en-US"/>
                      <a:t>High-side MOSFET</a:t>
                    </a:r>
                  </a:p>
                  <a:p>
                    <a:r>
                      <a:rPr lang="en-US"/>
                      <a:t>Switching</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0"/>
            <c:showPercent val="0"/>
            <c:showBubbleSize val="0"/>
          </c:dLbls>
          <c:val>
            <c:numRef>
              <c:f>Parameters!$BD$109</c:f>
              <c:numCache>
                <c:formatCode>0.000%</c:formatCode>
                <c:ptCount val="1"/>
                <c:pt idx="0">
                  <c:v>9.9057039827182662E-3</c:v>
                </c:pt>
              </c:numCache>
            </c:numRef>
          </c:val>
        </c:ser>
        <c:ser>
          <c:idx val="7"/>
          <c:order val="2"/>
          <c:tx>
            <c:strRef>
              <c:f>Parameters!$BB$5</c:f>
              <c:strCache>
                <c:ptCount val="1"/>
                <c:pt idx="0">
                  <c:v>Low-side MOSFET Rdson %</c:v>
                </c:pt>
              </c:strCache>
            </c:strRef>
          </c:tx>
          <c:spPr>
            <a:solidFill>
              <a:srgbClr val="FF6600"/>
            </a:solidFill>
            <a:ln w="12700">
              <a:solidFill>
                <a:srgbClr val="000000"/>
              </a:solidFill>
              <a:prstDash val="solid"/>
            </a:ln>
          </c:spPr>
          <c:invertIfNegative val="0"/>
          <c:dLbls>
            <c:dLbl>
              <c:idx val="0"/>
              <c:tx>
                <c:rich>
                  <a:bodyPr/>
                  <a:lstStyle/>
                  <a:p>
                    <a:r>
                      <a:rPr lang="en-US" sz="1200" b="1"/>
                      <a:t>L</a:t>
                    </a:r>
                    <a:r>
                      <a:rPr lang="en-US" sz="1200"/>
                      <a:t>ow-side MOSFET</a:t>
                    </a:r>
                  </a:p>
                  <a:p>
                    <a:r>
                      <a:rPr lang="en-US" sz="1200"/>
                      <a:t>Rdson</a:t>
                    </a:r>
                  </a:p>
                </c:rich>
              </c:tx>
              <c:dLblPos val="outEnd"/>
              <c:showLegendKey val="0"/>
              <c:showVal val="1"/>
              <c:showCatName val="0"/>
              <c:showSerName val="1"/>
              <c:showPercent val="0"/>
              <c:showBubbleSize val="0"/>
            </c:dLbl>
            <c:txPr>
              <a:bodyPr/>
              <a:lstStyle/>
              <a:p>
                <a:pPr>
                  <a:defRPr b="1"/>
                </a:pPr>
                <a:endParaRPr lang="en-US"/>
              </a:p>
            </c:txPr>
            <c:dLblPos val="outEnd"/>
            <c:showLegendKey val="0"/>
            <c:showVal val="1"/>
            <c:showCatName val="0"/>
            <c:showSerName val="1"/>
            <c:showPercent val="0"/>
            <c:showBubbleSize val="0"/>
            <c:showLeaderLines val="0"/>
          </c:dLbls>
          <c:val>
            <c:numRef>
              <c:f>Parameters!$BB$109</c:f>
              <c:numCache>
                <c:formatCode>0.000%</c:formatCode>
                <c:ptCount val="1"/>
                <c:pt idx="0">
                  <c:v>1.4614802049391215E-2</c:v>
                </c:pt>
              </c:numCache>
            </c:numRef>
          </c:val>
        </c:ser>
        <c:ser>
          <c:idx val="3"/>
          <c:order val="3"/>
          <c:tx>
            <c:strRef>
              <c:f>Parameters!$BF$5</c:f>
              <c:strCache>
                <c:ptCount val="1"/>
                <c:pt idx="0">
                  <c:v>Deadtime Loss %</c:v>
                </c:pt>
              </c:strCache>
            </c:strRef>
          </c:tx>
          <c:spPr>
            <a:solidFill>
              <a:srgbClr val="666699"/>
            </a:solidFill>
            <a:ln w="12700">
              <a:solidFill>
                <a:srgbClr val="000000"/>
              </a:solidFill>
              <a:prstDash val="solid"/>
            </a:ln>
          </c:spPr>
          <c:invertIfNegative val="0"/>
          <c:dLbls>
            <c:dLbl>
              <c:idx val="0"/>
              <c:layout>
                <c:manualLayout>
                  <c:x val="0"/>
                  <c:y val="-9.5751047277079695E-3"/>
                </c:manualLayout>
              </c:layout>
              <c:tx>
                <c:rich>
                  <a:bodyPr/>
                  <a:lstStyle/>
                  <a:p>
                    <a:r>
                      <a:rPr lang="en-US"/>
                      <a:t>Low-side MOSFET</a:t>
                    </a:r>
                  </a:p>
                  <a:p>
                    <a:r>
                      <a:rPr lang="en-US"/>
                      <a:t>Deadtime </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1"/>
            <c:showPercent val="0"/>
            <c:showBubbleSize val="0"/>
            <c:showLeaderLines val="0"/>
          </c:dLbls>
          <c:val>
            <c:numRef>
              <c:f>Parameters!$BF$109</c:f>
              <c:numCache>
                <c:formatCode>0.000%</c:formatCode>
                <c:ptCount val="1"/>
                <c:pt idx="0">
                  <c:v>1.6465542803473395E-3</c:v>
                </c:pt>
              </c:numCache>
            </c:numRef>
          </c:val>
        </c:ser>
        <c:ser>
          <c:idx val="2"/>
          <c:order val="4"/>
          <c:tx>
            <c:strRef>
              <c:f>Parameters!$BC$5</c:f>
              <c:strCache>
                <c:ptCount val="1"/>
                <c:pt idx="0">
                  <c:v>Gate Drive (Qg) Loss from Vin %</c:v>
                </c:pt>
              </c:strCache>
            </c:strRef>
          </c:tx>
          <c:spPr>
            <a:solidFill>
              <a:srgbClr val="00FFFF"/>
            </a:solidFill>
            <a:ln w="12700">
              <a:solidFill>
                <a:srgbClr val="000000"/>
              </a:solidFill>
              <a:prstDash val="solid"/>
            </a:ln>
          </c:spPr>
          <c:invertIfNegative val="0"/>
          <c:dLbls>
            <c:dLbl>
              <c:idx val="0"/>
              <c:tx>
                <c:rich>
                  <a:bodyPr/>
                  <a:lstStyle/>
                  <a:p>
                    <a:r>
                      <a:rPr lang="en-US"/>
                      <a:t>Gate Drive (Qg)</a:t>
                    </a:r>
                  </a:p>
                  <a:p>
                    <a:r>
                      <a:rPr lang="en-US"/>
                      <a:t>Loss</a:t>
                    </a:r>
                  </a:p>
                </c:rich>
              </c:tx>
              <c:dLblPos val="outEnd"/>
              <c:showLegendKey val="0"/>
              <c:showVal val="0"/>
              <c:showCatName val="0"/>
              <c:showSerName val="1"/>
              <c:showPercent val="0"/>
              <c:showBubbleSize val="0"/>
            </c:dLbl>
            <c:txPr>
              <a:bodyPr rot="0" vert="horz"/>
              <a:lstStyle/>
              <a:p>
                <a:pPr>
                  <a:defRPr sz="1200" b="1"/>
                </a:pPr>
                <a:endParaRPr lang="en-US"/>
              </a:p>
            </c:txPr>
            <c:dLblPos val="outEnd"/>
            <c:showLegendKey val="0"/>
            <c:showVal val="0"/>
            <c:showCatName val="0"/>
            <c:showSerName val="0"/>
            <c:showPercent val="0"/>
            <c:showBubbleSize val="0"/>
          </c:dLbls>
          <c:val>
            <c:numRef>
              <c:f>Parameters!$BC$109</c:f>
              <c:numCache>
                <c:formatCode>0.000%</c:formatCode>
                <c:ptCount val="1"/>
                <c:pt idx="0">
                  <c:v>2.4831534664325892E-2</c:v>
                </c:pt>
              </c:numCache>
            </c:numRef>
          </c:val>
        </c:ser>
        <c:ser>
          <c:idx val="1"/>
          <c:order val="5"/>
          <c:tx>
            <c:strRef>
              <c:f>Parameters!$BE$5</c:f>
              <c:strCache>
                <c:ptCount val="1"/>
                <c:pt idx="0">
                  <c:v>Reverse Recovery &amp; Leakage Loss %</c:v>
                </c:pt>
              </c:strCache>
            </c:strRef>
          </c:tx>
          <c:invertIfNegative val="0"/>
          <c:dLbls>
            <c:dLbl>
              <c:idx val="0"/>
              <c:tx>
                <c:rich>
                  <a:bodyPr/>
                  <a:lstStyle/>
                  <a:p>
                    <a:r>
                      <a:rPr lang="en-US" sz="1200" b="1"/>
                      <a:t>Reverse Recovery</a:t>
                    </a:r>
                  </a:p>
                  <a:p>
                    <a:r>
                      <a:rPr lang="en-US" sz="1200" b="1"/>
                      <a:t>Loss</a:t>
                    </a:r>
                  </a:p>
                </c:rich>
              </c:tx>
              <c:showLegendKey val="0"/>
              <c:showVal val="0"/>
              <c:showCatName val="0"/>
              <c:showSerName val="1"/>
              <c:showPercent val="0"/>
              <c:showBubbleSize val="0"/>
            </c:dLbl>
            <c:showLegendKey val="0"/>
            <c:showVal val="0"/>
            <c:showCatName val="0"/>
            <c:showSerName val="1"/>
            <c:showPercent val="0"/>
            <c:showBubbleSize val="0"/>
            <c:showLeaderLines val="0"/>
          </c:dLbls>
          <c:val>
            <c:numRef>
              <c:f>Parameters!$BE$109</c:f>
              <c:numCache>
                <c:formatCode>0.000%</c:formatCode>
                <c:ptCount val="1"/>
                <c:pt idx="0">
                  <c:v>1.1631608311305648E-2</c:v>
                </c:pt>
              </c:numCache>
            </c:numRef>
          </c:val>
        </c:ser>
        <c:ser>
          <c:idx val="8"/>
          <c:order val="6"/>
          <c:tx>
            <c:strRef>
              <c:f>Parameters!$BG$5</c:f>
              <c:strCache>
                <c:ptCount val="1"/>
                <c:pt idx="0">
                  <c:v>Inductor Cu Loss %</c:v>
                </c:pt>
              </c:strCache>
            </c:strRef>
          </c:tx>
          <c:spPr>
            <a:solidFill>
              <a:srgbClr val="00FF00"/>
            </a:solidFill>
            <a:ln w="12700">
              <a:solidFill>
                <a:srgbClr val="000000"/>
              </a:solidFill>
              <a:prstDash val="solid"/>
            </a:ln>
          </c:spPr>
          <c:invertIfNegative val="0"/>
          <c:dLbls>
            <c:dLbl>
              <c:idx val="0"/>
              <c:tx>
                <c:rich>
                  <a:bodyPr/>
                  <a:lstStyle/>
                  <a:p>
                    <a:r>
                      <a:rPr lang="en-US"/>
                      <a:t>Inductor DCR</a:t>
                    </a:r>
                  </a:p>
                  <a:p>
                    <a:r>
                      <a:rPr lang="en-US"/>
                      <a:t>Loss</a:t>
                    </a:r>
                  </a:p>
                </c:rich>
              </c:tx>
              <c:showLegendKey val="0"/>
              <c:showVal val="0"/>
              <c:showCatName val="0"/>
              <c:showSerName val="1"/>
              <c:showPercent val="0"/>
              <c:showBubbleSize val="0"/>
            </c:dLbl>
            <c:txPr>
              <a:bodyPr/>
              <a:lstStyle/>
              <a:p>
                <a:pPr>
                  <a:defRPr sz="1200" b="1"/>
                </a:pPr>
                <a:endParaRPr lang="en-US"/>
              </a:p>
            </c:txPr>
            <c:showLegendKey val="0"/>
            <c:showVal val="0"/>
            <c:showCatName val="0"/>
            <c:showSerName val="0"/>
            <c:showPercent val="0"/>
            <c:showBubbleSize val="0"/>
          </c:dLbls>
          <c:val>
            <c:numRef>
              <c:f>Parameters!$BG$109</c:f>
              <c:numCache>
                <c:formatCode>0.000%</c:formatCode>
                <c:ptCount val="1"/>
                <c:pt idx="0">
                  <c:v>1.6051760250250457E-2</c:v>
                </c:pt>
              </c:numCache>
            </c:numRef>
          </c:val>
        </c:ser>
        <c:ser>
          <c:idx val="4"/>
          <c:order val="7"/>
          <c:tx>
            <c:strRef>
              <c:f>Parameters!$BH$5</c:f>
              <c:strCache>
                <c:ptCount val="1"/>
                <c:pt idx="0">
                  <c:v>Inductor Core Loss %</c:v>
                </c:pt>
              </c:strCache>
            </c:strRef>
          </c:tx>
          <c:spPr>
            <a:solidFill>
              <a:srgbClr val="99CC00"/>
            </a:solidFill>
            <a:ln w="12700">
              <a:solidFill>
                <a:srgbClr val="000000"/>
              </a:solidFill>
              <a:prstDash val="solid"/>
            </a:ln>
          </c:spPr>
          <c:invertIfNegative val="0"/>
          <c:dLbls>
            <c:dLbl>
              <c:idx val="0"/>
              <c:tx>
                <c:rich>
                  <a:bodyPr/>
                  <a:lstStyle/>
                  <a:p>
                    <a:r>
                      <a:rPr lang="en-US"/>
                      <a:t>Inductor Core</a:t>
                    </a:r>
                  </a:p>
                  <a:p>
                    <a:r>
                      <a:rPr lang="en-US"/>
                      <a:t>Loss</a:t>
                    </a:r>
                  </a:p>
                </c:rich>
              </c:tx>
              <c:showLegendKey val="0"/>
              <c:showVal val="0"/>
              <c:showCatName val="0"/>
              <c:showSerName val="1"/>
              <c:showPercent val="0"/>
              <c:showBubbleSize val="0"/>
            </c:dLbl>
            <c:txPr>
              <a:bodyPr/>
              <a:lstStyle/>
              <a:p>
                <a:pPr>
                  <a:defRPr sz="1200" b="1"/>
                </a:pPr>
                <a:endParaRPr lang="en-US"/>
              </a:p>
            </c:txPr>
            <c:showLegendKey val="0"/>
            <c:showVal val="0"/>
            <c:showCatName val="0"/>
            <c:showSerName val="0"/>
            <c:showPercent val="0"/>
            <c:showBubbleSize val="0"/>
          </c:dLbls>
          <c:val>
            <c:numRef>
              <c:f>Parameters!$BH$109</c:f>
              <c:numCache>
                <c:formatCode>0.000%</c:formatCode>
                <c:ptCount val="1"/>
                <c:pt idx="0">
                  <c:v>6.8152413568584669E-3</c:v>
                </c:pt>
              </c:numCache>
            </c:numRef>
          </c:val>
        </c:ser>
        <c:ser>
          <c:idx val="0"/>
          <c:order val="8"/>
          <c:tx>
            <c:strRef>
              <c:f>Parameters!$BJ$5</c:f>
              <c:strCache>
                <c:ptCount val="1"/>
                <c:pt idx="0">
                  <c:v>Quiescent Current Loss %</c:v>
                </c:pt>
              </c:strCache>
            </c:strRef>
          </c:tx>
          <c:invertIfNegative val="0"/>
          <c:dLbls>
            <c:dLbl>
              <c:idx val="0"/>
              <c:tx>
                <c:rich>
                  <a:bodyPr/>
                  <a:lstStyle/>
                  <a:p>
                    <a:r>
                      <a:rPr lang="en-US"/>
                      <a:t>Quiescent Current</a:t>
                    </a:r>
                  </a:p>
                  <a:p>
                    <a:r>
                      <a:rPr lang="en-US"/>
                      <a:t>Loss </a:t>
                    </a:r>
                  </a:p>
                </c:rich>
              </c:tx>
              <c:showLegendKey val="0"/>
              <c:showVal val="0"/>
              <c:showCatName val="0"/>
              <c:showSerName val="1"/>
              <c:showPercent val="0"/>
              <c:showBubbleSize val="0"/>
            </c:dLbl>
            <c:numFmt formatCode="0.0E+00" sourceLinked="0"/>
            <c:spPr>
              <a:noFill/>
            </c:spPr>
            <c:txPr>
              <a:bodyPr rot="0" vert="horz" anchor="ctr" anchorCtr="0"/>
              <a:lstStyle/>
              <a:p>
                <a:pPr>
                  <a:defRPr sz="1200" b="1"/>
                </a:pPr>
                <a:endParaRPr lang="en-US"/>
              </a:p>
            </c:txPr>
            <c:showLegendKey val="0"/>
            <c:showVal val="0"/>
            <c:showCatName val="0"/>
            <c:showSerName val="0"/>
            <c:showPercent val="0"/>
            <c:showBubbleSize val="0"/>
          </c:dLbls>
          <c:val>
            <c:numRef>
              <c:f>Parameters!$BJ$109</c:f>
              <c:numCache>
                <c:formatCode>0.000%</c:formatCode>
                <c:ptCount val="1"/>
                <c:pt idx="0">
                  <c:v>1.2837829865088564E-2</c:v>
                </c:pt>
              </c:numCache>
            </c:numRef>
          </c:val>
        </c:ser>
        <c:dLbls>
          <c:showLegendKey val="0"/>
          <c:showVal val="0"/>
          <c:showCatName val="0"/>
          <c:showSerName val="0"/>
          <c:showPercent val="0"/>
          <c:showBubbleSize val="0"/>
        </c:dLbls>
        <c:gapWidth val="101"/>
        <c:overlap val="-70"/>
        <c:axId val="160423296"/>
        <c:axId val="160056448"/>
      </c:barChart>
      <c:catAx>
        <c:axId val="160423296"/>
        <c:scaling>
          <c:orientation val="minMax"/>
        </c:scaling>
        <c:delete val="0"/>
        <c:axPos val="b"/>
        <c:numFmt formatCode="General" sourceLinked="1"/>
        <c:majorTickMark val="none"/>
        <c:minorTickMark val="none"/>
        <c:tickLblPos val="none"/>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60056448"/>
        <c:crossesAt val="0"/>
        <c:auto val="1"/>
        <c:lblAlgn val="ctr"/>
        <c:lblOffset val="100"/>
        <c:noMultiLvlLbl val="0"/>
      </c:catAx>
      <c:valAx>
        <c:axId val="160056448"/>
        <c:scaling>
          <c:orientation val="minMax"/>
          <c:min val="0"/>
        </c:scaling>
        <c:delete val="0"/>
        <c:axPos val="l"/>
        <c:majorGridlines>
          <c:spPr>
            <a:ln>
              <a:prstDash val="lgDash"/>
            </a:ln>
          </c:spPr>
        </c:majorGridlines>
        <c:title>
          <c:tx>
            <c:rich>
              <a:bodyPr/>
              <a:lstStyle/>
              <a:p>
                <a:pPr>
                  <a:defRPr b="1"/>
                </a:pPr>
                <a:r>
                  <a:rPr lang="en-US" b="1"/>
                  <a:t>Loss</a:t>
                </a:r>
                <a:r>
                  <a:rPr lang="en-US" b="1" baseline="0"/>
                  <a:t> Contributors</a:t>
                </a:r>
                <a:endParaRPr lang="en-US" b="1"/>
              </a:p>
            </c:rich>
          </c:tx>
          <c:layout>
            <c:manualLayout>
              <c:xMode val="edge"/>
              <c:yMode val="edge"/>
              <c:x val="9.9337306593581982E-3"/>
              <c:y val="0.30210944457795558"/>
            </c:manualLayout>
          </c:layout>
          <c:overlay val="0"/>
        </c:title>
        <c:numFmt formatCode="0.0%" sourceLinked="0"/>
        <c:majorTickMark val="out"/>
        <c:minorTickMark val="out"/>
        <c:tickLblPos val="low"/>
        <c:crossAx val="160423296"/>
        <c:crosses val="autoZero"/>
        <c:crossBetween val="between"/>
        <c:majorUnit val="5.0000000000000036E-3"/>
      </c:valAx>
      <c:spPr>
        <a:solidFill>
          <a:schemeClr val="bg1">
            <a:lumMod val="95000"/>
          </a:schemeClr>
        </a:solidFill>
        <a:ln w="25400">
          <a:noFill/>
        </a:ln>
      </c:spPr>
    </c:plotArea>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a:ea typeface="Arial"/>
                <a:cs typeface="Arial"/>
              </a:defRPr>
            </a:pPr>
            <a:r>
              <a:rPr lang="en-US" sz="2000"/>
              <a:t>Breakdown of COT Efficiency Losses vs. Iout</a:t>
            </a:r>
          </a:p>
        </c:rich>
      </c:tx>
      <c:layout>
        <c:manualLayout>
          <c:xMode val="edge"/>
          <c:yMode val="edge"/>
          <c:x val="0.19265692406240287"/>
          <c:y val="3.081543250743031E-2"/>
        </c:manualLayout>
      </c:layout>
      <c:overlay val="0"/>
      <c:spPr>
        <a:noFill/>
        <a:ln w="25400">
          <a:noFill/>
        </a:ln>
      </c:spPr>
    </c:title>
    <c:autoTitleDeleted val="0"/>
    <c:plotArea>
      <c:layout>
        <c:manualLayout>
          <c:layoutTarget val="inner"/>
          <c:xMode val="edge"/>
          <c:yMode val="edge"/>
          <c:x val="0.18496430825131774"/>
          <c:y val="0.14694417652807107"/>
          <c:w val="0.46181411156941887"/>
          <c:h val="0.69570915435856628"/>
        </c:manualLayout>
      </c:layout>
      <c:areaChart>
        <c:grouping val="percentStacked"/>
        <c:varyColors val="0"/>
        <c:ser>
          <c:idx val="1"/>
          <c:order val="0"/>
          <c:tx>
            <c:strRef>
              <c:f>Parameters!$BI$5</c:f>
              <c:strCache>
                <c:ptCount val="1"/>
                <c:pt idx="0">
                  <c:v>Cin Cout ESR %</c:v>
                </c:pt>
              </c:strCache>
            </c:strRef>
          </c:tx>
          <c:spPr>
            <a:solidFill>
              <a:srgbClr val="FFFF00"/>
            </a:solidFill>
            <a:ln w="12700">
              <a:solidFill>
                <a:srgbClr val="000000"/>
              </a:solidFill>
              <a:prstDash val="solid"/>
            </a:ln>
          </c:spPr>
          <c:val>
            <c:numRef>
              <c:f>Parameters!$BI$6:$BI$106</c:f>
              <c:numCache>
                <c:formatCode>0.000%</c:formatCode>
                <c:ptCount val="101"/>
                <c:pt idx="0">
                  <c:v>0</c:v>
                </c:pt>
                <c:pt idx="1">
                  <c:v>0</c:v>
                </c:pt>
                <c:pt idx="2">
                  <c:v>0</c:v>
                </c:pt>
                <c:pt idx="3">
                  <c:v>0</c:v>
                </c:pt>
                <c:pt idx="100">
                  <c:v>0</c:v>
                </c:pt>
              </c:numCache>
            </c:numRef>
          </c:val>
        </c:ser>
        <c:ser>
          <c:idx val="3"/>
          <c:order val="1"/>
          <c:tx>
            <c:strRef>
              <c:f>Parameters!$BF$5</c:f>
              <c:strCache>
                <c:ptCount val="1"/>
                <c:pt idx="0">
                  <c:v>Deadtime Loss %</c:v>
                </c:pt>
              </c:strCache>
            </c:strRef>
          </c:tx>
          <c:spPr>
            <a:solidFill>
              <a:srgbClr val="666699"/>
            </a:solidFill>
            <a:ln w="12700">
              <a:solidFill>
                <a:srgbClr val="000000"/>
              </a:solidFill>
              <a:prstDash val="solid"/>
            </a:ln>
          </c:spPr>
          <c:val>
            <c:numRef>
              <c:f>Parameters!$BF$6:$BF$106</c:f>
              <c:numCache>
                <c:formatCode>0.000%</c:formatCode>
                <c:ptCount val="101"/>
                <c:pt idx="0">
                  <c:v>0</c:v>
                </c:pt>
                <c:pt idx="1">
                  <c:v>0</c:v>
                </c:pt>
                <c:pt idx="2">
                  <c:v>0</c:v>
                </c:pt>
                <c:pt idx="3">
                  <c:v>0</c:v>
                </c:pt>
                <c:pt idx="100">
                  <c:v>0</c:v>
                </c:pt>
              </c:numCache>
            </c:numRef>
          </c:val>
        </c:ser>
        <c:ser>
          <c:idx val="6"/>
          <c:order val="2"/>
          <c:tx>
            <c:strRef>
              <c:f>Parameters!$BA$5</c:f>
              <c:strCache>
                <c:ptCount val="1"/>
                <c:pt idx="0">
                  <c:v>High-side MOSFET Rdson %</c:v>
                </c:pt>
              </c:strCache>
            </c:strRef>
          </c:tx>
          <c:spPr>
            <a:solidFill>
              <a:srgbClr val="FF0000"/>
            </a:solidFill>
            <a:ln w="12700">
              <a:solidFill>
                <a:srgbClr val="000000"/>
              </a:solidFill>
              <a:prstDash val="solid"/>
            </a:ln>
          </c:spPr>
          <c:val>
            <c:numRef>
              <c:f>Parameters!$BA$6:$BA$106</c:f>
              <c:numCache>
                <c:formatCode>0.000%</c:formatCode>
                <c:ptCount val="101"/>
                <c:pt idx="0">
                  <c:v>0</c:v>
                </c:pt>
                <c:pt idx="1">
                  <c:v>0</c:v>
                </c:pt>
                <c:pt idx="2">
                  <c:v>0</c:v>
                </c:pt>
                <c:pt idx="3">
                  <c:v>0</c:v>
                </c:pt>
                <c:pt idx="100">
                  <c:v>0</c:v>
                </c:pt>
              </c:numCache>
            </c:numRef>
          </c:val>
        </c:ser>
        <c:ser>
          <c:idx val="7"/>
          <c:order val="3"/>
          <c:tx>
            <c:strRef>
              <c:f>Parameters!$BB$5</c:f>
              <c:strCache>
                <c:ptCount val="1"/>
                <c:pt idx="0">
                  <c:v>Low-side MOSFET Rdson %</c:v>
                </c:pt>
              </c:strCache>
            </c:strRef>
          </c:tx>
          <c:spPr>
            <a:solidFill>
              <a:srgbClr val="FF6600"/>
            </a:solidFill>
            <a:ln w="12700">
              <a:solidFill>
                <a:srgbClr val="000000"/>
              </a:solidFill>
              <a:prstDash val="solid"/>
            </a:ln>
          </c:spPr>
          <c:val>
            <c:numRef>
              <c:f>Parameters!$BB$6:$BB$106</c:f>
              <c:numCache>
                <c:formatCode>0.000%</c:formatCode>
                <c:ptCount val="101"/>
                <c:pt idx="0">
                  <c:v>0</c:v>
                </c:pt>
                <c:pt idx="1">
                  <c:v>0</c:v>
                </c:pt>
                <c:pt idx="2">
                  <c:v>0</c:v>
                </c:pt>
                <c:pt idx="3">
                  <c:v>0</c:v>
                </c:pt>
                <c:pt idx="100">
                  <c:v>0</c:v>
                </c:pt>
              </c:numCache>
            </c:numRef>
          </c:val>
        </c:ser>
        <c:ser>
          <c:idx val="4"/>
          <c:order val="4"/>
          <c:tx>
            <c:strRef>
              <c:f>Parameters!$BH$5</c:f>
              <c:strCache>
                <c:ptCount val="1"/>
                <c:pt idx="0">
                  <c:v>Inductor Core Loss %</c:v>
                </c:pt>
              </c:strCache>
            </c:strRef>
          </c:tx>
          <c:spPr>
            <a:solidFill>
              <a:srgbClr val="99CC00"/>
            </a:solidFill>
            <a:ln w="12700">
              <a:solidFill>
                <a:srgbClr val="000000"/>
              </a:solidFill>
              <a:prstDash val="solid"/>
            </a:ln>
          </c:spPr>
          <c:val>
            <c:numRef>
              <c:f>Parameters!$BH$6:$BH$106</c:f>
              <c:numCache>
                <c:formatCode>0.000%</c:formatCode>
                <c:ptCount val="101"/>
                <c:pt idx="0">
                  <c:v>0</c:v>
                </c:pt>
                <c:pt idx="1">
                  <c:v>0</c:v>
                </c:pt>
                <c:pt idx="2">
                  <c:v>0</c:v>
                </c:pt>
                <c:pt idx="3">
                  <c:v>0</c:v>
                </c:pt>
                <c:pt idx="100">
                  <c:v>0</c:v>
                </c:pt>
              </c:numCache>
            </c:numRef>
          </c:val>
        </c:ser>
        <c:ser>
          <c:idx val="8"/>
          <c:order val="5"/>
          <c:tx>
            <c:strRef>
              <c:f>Parameters!$BG$5</c:f>
              <c:strCache>
                <c:ptCount val="1"/>
                <c:pt idx="0">
                  <c:v>Inductor Cu Loss %</c:v>
                </c:pt>
              </c:strCache>
            </c:strRef>
          </c:tx>
          <c:spPr>
            <a:solidFill>
              <a:srgbClr val="00FF00"/>
            </a:solidFill>
            <a:ln w="12700">
              <a:solidFill>
                <a:srgbClr val="000000"/>
              </a:solidFill>
              <a:prstDash val="solid"/>
            </a:ln>
          </c:spPr>
          <c:val>
            <c:numRef>
              <c:f>Parameters!$BG$6:$BG$106</c:f>
              <c:numCache>
                <c:formatCode>0.000%</c:formatCode>
                <c:ptCount val="101"/>
                <c:pt idx="0">
                  <c:v>0</c:v>
                </c:pt>
                <c:pt idx="1">
                  <c:v>0</c:v>
                </c:pt>
                <c:pt idx="2">
                  <c:v>0</c:v>
                </c:pt>
                <c:pt idx="3">
                  <c:v>0</c:v>
                </c:pt>
                <c:pt idx="100">
                  <c:v>0</c:v>
                </c:pt>
              </c:numCache>
            </c:numRef>
          </c:val>
        </c:ser>
        <c:ser>
          <c:idx val="2"/>
          <c:order val="6"/>
          <c:tx>
            <c:strRef>
              <c:f>Parameters!$BC$5</c:f>
              <c:strCache>
                <c:ptCount val="1"/>
                <c:pt idx="0">
                  <c:v>Gate Drive (Qg) Loss from Vin %</c:v>
                </c:pt>
              </c:strCache>
            </c:strRef>
          </c:tx>
          <c:spPr>
            <a:solidFill>
              <a:srgbClr val="00FFFF"/>
            </a:solidFill>
            <a:ln w="12700">
              <a:solidFill>
                <a:srgbClr val="000000"/>
              </a:solidFill>
              <a:prstDash val="solid"/>
            </a:ln>
          </c:spPr>
          <c:val>
            <c:numRef>
              <c:f>Parameters!$BC$6:$BC$106</c:f>
              <c:numCache>
                <c:formatCode>0.000%</c:formatCode>
                <c:ptCount val="101"/>
                <c:pt idx="0">
                  <c:v>0</c:v>
                </c:pt>
                <c:pt idx="1">
                  <c:v>0</c:v>
                </c:pt>
                <c:pt idx="2">
                  <c:v>0</c:v>
                </c:pt>
                <c:pt idx="3">
                  <c:v>0</c:v>
                </c:pt>
                <c:pt idx="100">
                  <c:v>0</c:v>
                </c:pt>
              </c:numCache>
            </c:numRef>
          </c:val>
        </c:ser>
        <c:ser>
          <c:idx val="5"/>
          <c:order val="7"/>
          <c:tx>
            <c:strRef>
              <c:f>Parameters!$BD$5</c:f>
              <c:strCache>
                <c:ptCount val="1"/>
                <c:pt idx="0">
                  <c:v>High-side MOSFET Switching Loss %</c:v>
                </c:pt>
              </c:strCache>
            </c:strRef>
          </c:tx>
          <c:spPr>
            <a:solidFill>
              <a:srgbClr val="0000FF"/>
            </a:solidFill>
            <a:ln w="12700">
              <a:solidFill>
                <a:srgbClr val="000000"/>
              </a:solidFill>
              <a:prstDash val="solid"/>
            </a:ln>
          </c:spPr>
          <c:val>
            <c:numRef>
              <c:f>Parameters!$BD$6:$BD$106</c:f>
              <c:numCache>
                <c:formatCode>0.000%</c:formatCode>
                <c:ptCount val="101"/>
                <c:pt idx="0">
                  <c:v>0</c:v>
                </c:pt>
                <c:pt idx="1">
                  <c:v>0</c:v>
                </c:pt>
                <c:pt idx="2">
                  <c:v>0</c:v>
                </c:pt>
                <c:pt idx="3">
                  <c:v>0</c:v>
                </c:pt>
                <c:pt idx="100">
                  <c:v>0</c:v>
                </c:pt>
              </c:numCache>
            </c:numRef>
          </c:val>
        </c:ser>
        <c:ser>
          <c:idx val="10"/>
          <c:order val="8"/>
          <c:tx>
            <c:strRef>
              <c:f>Parameters!$BE$5</c:f>
              <c:strCache>
                <c:ptCount val="1"/>
                <c:pt idx="0">
                  <c:v>Reverse Recovery &amp; Leakage Loss %</c:v>
                </c:pt>
              </c:strCache>
            </c:strRef>
          </c:tx>
          <c:spPr>
            <a:solidFill>
              <a:srgbClr val="FFFF00"/>
            </a:solidFill>
            <a:ln w="12700">
              <a:solidFill>
                <a:srgbClr val="000000"/>
              </a:solidFill>
              <a:prstDash val="solid"/>
            </a:ln>
          </c:spPr>
          <c:val>
            <c:numRef>
              <c:f>Parameters!$BE$6:$BE$106</c:f>
              <c:numCache>
                <c:formatCode>0.000%</c:formatCode>
                <c:ptCount val="101"/>
                <c:pt idx="0">
                  <c:v>0</c:v>
                </c:pt>
                <c:pt idx="1">
                  <c:v>0</c:v>
                </c:pt>
                <c:pt idx="2">
                  <c:v>0</c:v>
                </c:pt>
                <c:pt idx="3">
                  <c:v>0</c:v>
                </c:pt>
                <c:pt idx="100">
                  <c:v>0</c:v>
                </c:pt>
              </c:numCache>
            </c:numRef>
          </c:val>
        </c:ser>
        <c:ser>
          <c:idx val="0"/>
          <c:order val="9"/>
          <c:tx>
            <c:strRef>
              <c:f>Parameters!$BJ$5</c:f>
              <c:strCache>
                <c:ptCount val="1"/>
                <c:pt idx="0">
                  <c:v>Quiescent Current Loss %</c:v>
                </c:pt>
              </c:strCache>
            </c:strRef>
          </c:tx>
          <c:val>
            <c:numRef>
              <c:f>Parameters!$BJ$6:$BJ$106</c:f>
              <c:numCache>
                <c:formatCode>0.00%</c:formatCode>
                <c:ptCount val="101"/>
                <c:pt idx="0">
                  <c:v>0</c:v>
                </c:pt>
                <c:pt idx="1">
                  <c:v>0</c:v>
                </c:pt>
                <c:pt idx="2">
                  <c:v>0</c:v>
                </c:pt>
                <c:pt idx="3">
                  <c:v>0</c:v>
                </c:pt>
                <c:pt idx="100">
                  <c:v>0</c:v>
                </c:pt>
              </c:numCache>
            </c:numRef>
          </c:val>
        </c:ser>
        <c:ser>
          <c:idx val="9"/>
          <c:order val="10"/>
          <c:tx>
            <c:strRef>
              <c:f>Parameters!$BL$5</c:f>
              <c:strCache>
                <c:ptCount val="1"/>
                <c:pt idx="0">
                  <c:v>Overall Eff %</c:v>
                </c:pt>
              </c:strCache>
            </c:strRef>
          </c:tx>
          <c:spPr>
            <a:solidFill>
              <a:srgbClr val="000000"/>
            </a:solidFill>
            <a:ln w="12700">
              <a:solidFill>
                <a:srgbClr val="000000"/>
              </a:solidFill>
              <a:prstDash val="solid"/>
            </a:ln>
          </c:spPr>
          <c:val>
            <c:numRef>
              <c:f>Parameters!$BL$6:$BL$106</c:f>
              <c:numCache>
                <c:formatCode>0.00%</c:formatCode>
                <c:ptCount val="101"/>
                <c:pt idx="0">
                  <c:v>1</c:v>
                </c:pt>
                <c:pt idx="1">
                  <c:v>1</c:v>
                </c:pt>
                <c:pt idx="2">
                  <c:v>1</c:v>
                </c:pt>
                <c:pt idx="3">
                  <c:v>1</c:v>
                </c:pt>
                <c:pt idx="100">
                  <c:v>1</c:v>
                </c:pt>
              </c:numCache>
            </c:numRef>
          </c:val>
        </c:ser>
        <c:dLbls>
          <c:showLegendKey val="0"/>
          <c:showVal val="0"/>
          <c:showCatName val="0"/>
          <c:showSerName val="0"/>
          <c:showPercent val="0"/>
          <c:showBubbleSize val="0"/>
        </c:dLbls>
        <c:axId val="160195712"/>
        <c:axId val="160197632"/>
      </c:areaChart>
      <c:catAx>
        <c:axId val="160195712"/>
        <c:scaling>
          <c:orientation val="minMax"/>
        </c:scaling>
        <c:delete val="0"/>
        <c:axPos val="b"/>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I</a:t>
                </a:r>
                <a:r>
                  <a:rPr lang="en-US" baseline="-25000"/>
                  <a:t>OUT</a:t>
                </a:r>
                <a:r>
                  <a:rPr lang="en-US"/>
                  <a:t> (log scale)</a:t>
                </a:r>
              </a:p>
            </c:rich>
          </c:tx>
          <c:layout>
            <c:manualLayout>
              <c:xMode val="edge"/>
              <c:yMode val="edge"/>
              <c:x val="0.36670200647119611"/>
              <c:y val="0.89150460843557344"/>
            </c:manualLayout>
          </c:layout>
          <c:overlay val="0"/>
          <c:spPr>
            <a:noFill/>
            <a:ln w="25400">
              <a:noFill/>
            </a:ln>
          </c:spPr>
        </c:title>
        <c:numFmt formatCode="#,##0" sourceLinked="0"/>
        <c:majorTickMark val="out"/>
        <c:minorTickMark val="none"/>
        <c:tickLblPos val="none"/>
        <c:spPr>
          <a:ln w="3175">
            <a:solidFill>
              <a:srgbClr val="000000"/>
            </a:solidFill>
            <a:prstDash val="solid"/>
          </a:ln>
        </c:spPr>
        <c:txPr>
          <a:bodyPr rot="-5400000" vert="horz"/>
          <a:lstStyle/>
          <a:p>
            <a:pPr>
              <a:defRPr sz="1725" b="0" i="0" u="none" strike="noStrike" baseline="0">
                <a:solidFill>
                  <a:srgbClr val="000000"/>
                </a:solidFill>
                <a:latin typeface="Arial"/>
                <a:ea typeface="Arial"/>
                <a:cs typeface="Arial"/>
              </a:defRPr>
            </a:pPr>
            <a:endParaRPr lang="en-US"/>
          </a:p>
        </c:txPr>
        <c:crossAx val="160197632"/>
        <c:crosses val="autoZero"/>
        <c:auto val="1"/>
        <c:lblAlgn val="ctr"/>
        <c:lblOffset val="100"/>
        <c:tickMarkSkip val="1"/>
        <c:noMultiLvlLbl val="0"/>
      </c:catAx>
      <c:valAx>
        <c:axId val="160197632"/>
        <c:scaling>
          <c:orientation val="minMax"/>
          <c:max val="0.2"/>
          <c:min val="0"/>
        </c:scaling>
        <c:delete val="0"/>
        <c:axPos val="l"/>
        <c:majorGridlines>
          <c:spPr>
            <a:ln w="3175">
              <a:solidFill>
                <a:srgbClr val="000000"/>
              </a:solidFill>
              <a:prstDash val="solid"/>
            </a:ln>
          </c:spPr>
        </c:majorGridlines>
        <c:title>
          <c:tx>
            <c:rich>
              <a:bodyPr/>
              <a:lstStyle/>
              <a:p>
                <a:pPr>
                  <a:defRPr sz="1725" b="1" i="0" u="none" strike="noStrike" baseline="0">
                    <a:solidFill>
                      <a:srgbClr val="000000"/>
                    </a:solidFill>
                    <a:latin typeface="Arial"/>
                    <a:ea typeface="Arial"/>
                    <a:cs typeface="Arial"/>
                  </a:defRPr>
                </a:pPr>
                <a:r>
                  <a:rPr lang="en-US"/>
                  <a:t>Efficiency (%)</a:t>
                </a:r>
              </a:p>
            </c:rich>
          </c:tx>
          <c:layout>
            <c:manualLayout>
              <c:xMode val="edge"/>
              <c:yMode val="edge"/>
              <c:x val="0.10744349235757295"/>
              <c:y val="0.319433183553308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60195712"/>
        <c:crosses val="autoZero"/>
        <c:crossBetween val="midCat"/>
        <c:majorUnit val="0.05"/>
      </c:valAx>
      <c:spPr>
        <a:solidFill>
          <a:srgbClr val="C0C0C0"/>
        </a:solidFill>
        <a:ln w="12700">
          <a:solidFill>
            <a:srgbClr val="808080"/>
          </a:solidFill>
          <a:prstDash val="solid"/>
        </a:ln>
      </c:spPr>
    </c:plotArea>
    <c:legend>
      <c:legendPos val="r"/>
      <c:layout>
        <c:manualLayout>
          <c:xMode val="edge"/>
          <c:yMode val="edge"/>
          <c:x val="0.6796348064312191"/>
          <c:y val="5.737748792134436E-2"/>
          <c:w val="0.26010897805044486"/>
          <c:h val="0.85864261581306134"/>
        </c:manualLayout>
      </c:layout>
      <c:overlay val="0"/>
      <c:spPr>
        <a:solidFill>
          <a:srgbClr val="FFFFFF"/>
        </a:solidFill>
        <a:ln w="3175">
          <a:solidFill>
            <a:srgbClr val="000000"/>
          </a:solidFill>
          <a:prstDash val="solid"/>
        </a:ln>
      </c:spPr>
      <c:txPr>
        <a:bodyPr/>
        <a:lstStyle/>
        <a:p>
          <a:pPr>
            <a:defRPr sz="13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pitchFamily="34" charset="0"/>
                <a:ea typeface="Calibri"/>
                <a:cs typeface="Arial" pitchFamily="34" charset="0"/>
              </a:defRPr>
            </a:pPr>
            <a:r>
              <a:rPr lang="en-US" sz="2000">
                <a:latin typeface="Arial" pitchFamily="34" charset="0"/>
                <a:cs typeface="Arial" pitchFamily="34" charset="0"/>
                <a:sym typeface="Symbol"/>
              </a:rPr>
              <a:t></a:t>
            </a:r>
            <a:r>
              <a:rPr lang="en-US" sz="2000" b="1" i="0" u="none" strike="noStrike" baseline="0"/>
              <a:t>, V</a:t>
            </a:r>
            <a:r>
              <a:rPr lang="en-US" sz="2000" b="1" i="0" u="none" strike="noStrike" baseline="-25000"/>
              <a:t>IN</a:t>
            </a:r>
            <a:r>
              <a:rPr lang="en-US" sz="2000" b="1" i="0" u="none" strike="noStrike" baseline="0"/>
              <a:t> = V</a:t>
            </a:r>
            <a:r>
              <a:rPr lang="en-US" sz="2000" b="1" i="0" u="none" strike="noStrike" baseline="-25000"/>
              <a:t>IN(nom)</a:t>
            </a:r>
            <a:endParaRPr lang="en-US" sz="2000">
              <a:latin typeface="Arial" pitchFamily="34" charset="0"/>
              <a:cs typeface="Arial" pitchFamily="34" charset="0"/>
            </a:endParaRPr>
          </a:p>
        </c:rich>
      </c:tx>
      <c:layout>
        <c:manualLayout>
          <c:xMode val="edge"/>
          <c:yMode val="edge"/>
          <c:x val="0.10084794235626206"/>
          <c:y val="2.0639566697272373E-2"/>
        </c:manualLayout>
      </c:layout>
      <c:overlay val="0"/>
      <c:spPr>
        <a:noFill/>
        <a:ln w="25400">
          <a:noFill/>
        </a:ln>
      </c:spPr>
    </c:title>
    <c:autoTitleDeleted val="0"/>
    <c:plotArea>
      <c:layout>
        <c:manualLayout>
          <c:layoutTarget val="inner"/>
          <c:xMode val="edge"/>
          <c:yMode val="edge"/>
          <c:x val="8.5540561846730284E-2"/>
          <c:y val="0.12372903654825702"/>
          <c:w val="0.82265898741455901"/>
          <c:h val="0.76068566810117366"/>
        </c:manualLayout>
      </c:layout>
      <c:lineChart>
        <c:grouping val="standard"/>
        <c:varyColors val="0"/>
        <c:ser>
          <c:idx val="0"/>
          <c:order val="0"/>
          <c:tx>
            <c:v> Efficiency</c:v>
          </c:tx>
          <c:spPr>
            <a:ln w="31750">
              <a:solidFill>
                <a:srgbClr val="FF0000"/>
              </a:solidFill>
              <a:prstDash val="solid"/>
            </a:ln>
          </c:spPr>
          <c:marker>
            <c:symbol val="none"/>
          </c:marker>
          <c:cat>
            <c:numRef>
              <c:f>Parameters!$BN$6:$BN$106</c:f>
              <c:numCache>
                <c:formatCode>0.000</c:formatCode>
                <c:ptCount val="101"/>
                <c:pt idx="0">
                  <c:v>0.8</c:v>
                </c:pt>
                <c:pt idx="1">
                  <c:v>8</c:v>
                </c:pt>
                <c:pt idx="2">
                  <c:v>16</c:v>
                </c:pt>
                <c:pt idx="3">
                  <c:v>24</c:v>
                </c:pt>
                <c:pt idx="100">
                  <c:v>800</c:v>
                </c:pt>
              </c:numCache>
            </c:numRef>
          </c:cat>
          <c:val>
            <c:numRef>
              <c:f>Parameters!$BZ$6:$BZ$106</c:f>
              <c:numCache>
                <c:formatCode>0.00</c:formatCode>
                <c:ptCount val="101"/>
                <c:pt idx="0">
                  <c:v>100</c:v>
                </c:pt>
                <c:pt idx="1">
                  <c:v>100</c:v>
                </c:pt>
                <c:pt idx="2">
                  <c:v>100</c:v>
                </c:pt>
                <c:pt idx="3">
                  <c:v>100</c:v>
                </c:pt>
                <c:pt idx="100">
                  <c:v>100</c:v>
                </c:pt>
              </c:numCache>
            </c:numRef>
          </c:val>
          <c:smooth val="1"/>
        </c:ser>
        <c:dLbls>
          <c:showLegendKey val="0"/>
          <c:showVal val="0"/>
          <c:showCatName val="0"/>
          <c:showSerName val="0"/>
          <c:showPercent val="0"/>
          <c:showBubbleSize val="0"/>
        </c:dLbls>
        <c:marker val="1"/>
        <c:smooth val="0"/>
        <c:axId val="160242688"/>
        <c:axId val="160257152"/>
      </c:lineChart>
      <c:lineChart>
        <c:grouping val="standard"/>
        <c:varyColors val="0"/>
        <c:ser>
          <c:idx val="2"/>
          <c:order val="1"/>
          <c:tx>
            <c:v> IC Total Power Loss</c:v>
          </c:tx>
          <c:spPr>
            <a:ln w="38100">
              <a:solidFill>
                <a:srgbClr val="808000"/>
              </a:solidFill>
              <a:prstDash val="sysDash"/>
            </a:ln>
          </c:spPr>
          <c:marker>
            <c:symbol val="none"/>
          </c:marker>
          <c:cat>
            <c:numRef>
              <c:f>Parameters!$BN$6:$BN$106</c:f>
              <c:numCache>
                <c:formatCode>0.000</c:formatCode>
                <c:ptCount val="101"/>
                <c:pt idx="0">
                  <c:v>0.8</c:v>
                </c:pt>
                <c:pt idx="1">
                  <c:v>8</c:v>
                </c:pt>
                <c:pt idx="2">
                  <c:v>16</c:v>
                </c:pt>
                <c:pt idx="3">
                  <c:v>24</c:v>
                </c:pt>
                <c:pt idx="100">
                  <c:v>800</c:v>
                </c:pt>
              </c:numCache>
            </c:numRef>
          </c:cat>
          <c:val>
            <c:numRef>
              <c:f>Parameters!$CA$6:$CA$106</c:f>
              <c:numCache>
                <c:formatCode>0.00</c:formatCode>
                <c:ptCount val="101"/>
                <c:pt idx="0">
                  <c:v>0</c:v>
                </c:pt>
                <c:pt idx="1">
                  <c:v>0</c:v>
                </c:pt>
                <c:pt idx="2">
                  <c:v>0</c:v>
                </c:pt>
                <c:pt idx="3">
                  <c:v>0</c:v>
                </c:pt>
                <c:pt idx="100">
                  <c:v>0</c:v>
                </c:pt>
              </c:numCache>
            </c:numRef>
          </c:val>
          <c:smooth val="0"/>
        </c:ser>
        <c:ser>
          <c:idx val="1"/>
          <c:order val="2"/>
          <c:tx>
            <c:v> LDO + Quiescent Loss</c:v>
          </c:tx>
          <c:spPr>
            <a:ln w="38100">
              <a:solidFill>
                <a:srgbClr val="002060"/>
              </a:solidFill>
              <a:prstDash val="sysDot"/>
            </a:ln>
          </c:spPr>
          <c:marker>
            <c:symbol val="none"/>
          </c:marker>
          <c:cat>
            <c:numRef>
              <c:f>Parameters!$BN$6:$BN$106</c:f>
              <c:numCache>
                <c:formatCode>0.000</c:formatCode>
                <c:ptCount val="101"/>
                <c:pt idx="0">
                  <c:v>0.8</c:v>
                </c:pt>
                <c:pt idx="1">
                  <c:v>8</c:v>
                </c:pt>
                <c:pt idx="2">
                  <c:v>16</c:v>
                </c:pt>
                <c:pt idx="3">
                  <c:v>24</c:v>
                </c:pt>
                <c:pt idx="100">
                  <c:v>800</c:v>
                </c:pt>
              </c:numCache>
            </c:numRef>
          </c:cat>
          <c:val>
            <c:numRef>
              <c:f>Parameters!$CB$6:$CB$106</c:f>
              <c:numCache>
                <c:formatCode>0.00</c:formatCode>
                <c:ptCount val="101"/>
                <c:pt idx="0">
                  <c:v>0</c:v>
                </c:pt>
                <c:pt idx="1">
                  <c:v>0</c:v>
                </c:pt>
                <c:pt idx="2">
                  <c:v>0</c:v>
                </c:pt>
                <c:pt idx="3">
                  <c:v>0</c:v>
                </c:pt>
                <c:pt idx="100">
                  <c:v>0</c:v>
                </c:pt>
              </c:numCache>
            </c:numRef>
          </c:val>
          <c:smooth val="0"/>
        </c:ser>
        <c:ser>
          <c:idx val="3"/>
          <c:order val="3"/>
          <c:tx>
            <c:v> Inductor Loss</c:v>
          </c:tx>
          <c:spPr>
            <a:ln w="38100">
              <a:solidFill>
                <a:srgbClr val="800080"/>
              </a:solidFill>
              <a:prstDash val="dash"/>
            </a:ln>
          </c:spPr>
          <c:marker>
            <c:symbol val="none"/>
          </c:marker>
          <c:cat>
            <c:numRef>
              <c:f>Parameters!$BN$6:$BN$106</c:f>
              <c:numCache>
                <c:formatCode>0.000</c:formatCode>
                <c:ptCount val="101"/>
                <c:pt idx="0">
                  <c:v>0.8</c:v>
                </c:pt>
                <c:pt idx="1">
                  <c:v>8</c:v>
                </c:pt>
                <c:pt idx="2">
                  <c:v>16</c:v>
                </c:pt>
                <c:pt idx="3">
                  <c:v>24</c:v>
                </c:pt>
                <c:pt idx="100">
                  <c:v>800</c:v>
                </c:pt>
              </c:numCache>
            </c:numRef>
          </c:cat>
          <c:val>
            <c:numRef>
              <c:f>Parameters!$CC$6:$CC$106</c:f>
              <c:numCache>
                <c:formatCode>0.00</c:formatCode>
                <c:ptCount val="101"/>
                <c:pt idx="0">
                  <c:v>0</c:v>
                </c:pt>
                <c:pt idx="1">
                  <c:v>0</c:v>
                </c:pt>
                <c:pt idx="2">
                  <c:v>0</c:v>
                </c:pt>
                <c:pt idx="3">
                  <c:v>0</c:v>
                </c:pt>
                <c:pt idx="100">
                  <c:v>0</c:v>
                </c:pt>
              </c:numCache>
            </c:numRef>
          </c:val>
          <c:smooth val="0"/>
        </c:ser>
        <c:dLbls>
          <c:showLegendKey val="0"/>
          <c:showVal val="0"/>
          <c:showCatName val="0"/>
          <c:showSerName val="0"/>
          <c:showPercent val="0"/>
          <c:showBubbleSize val="0"/>
        </c:dLbls>
        <c:marker val="1"/>
        <c:smooth val="0"/>
        <c:axId val="160265344"/>
        <c:axId val="160259072"/>
      </c:lineChart>
      <c:catAx>
        <c:axId val="160242688"/>
        <c:scaling>
          <c:orientation val="minMax"/>
        </c:scaling>
        <c:delete val="0"/>
        <c:axPos val="b"/>
        <c:majorGridlines>
          <c:spPr>
            <a:ln w="15875">
              <a:solidFill>
                <a:srgbClr val="969696"/>
              </a:solidFill>
              <a:prstDash val="sysDash"/>
            </a:ln>
          </c:spPr>
        </c:majorGridlines>
        <c:title>
          <c:tx>
            <c:rich>
              <a:bodyPr/>
              <a:lstStyle/>
              <a:p>
                <a:pPr>
                  <a:defRPr sz="1300" b="1" i="0" u="none" strike="noStrike" baseline="0">
                    <a:solidFill>
                      <a:sysClr val="windowText" lastClr="000000"/>
                    </a:solidFill>
                    <a:latin typeface="Arial" pitchFamily="34" charset="0"/>
                    <a:ea typeface="Calibri"/>
                    <a:cs typeface="Arial" pitchFamily="34" charset="0"/>
                  </a:defRPr>
                </a:pPr>
                <a:r>
                  <a:rPr lang="en-US" sz="1300">
                    <a:solidFill>
                      <a:sysClr val="windowText" lastClr="000000"/>
                    </a:solidFill>
                    <a:latin typeface="Arial" pitchFamily="34" charset="0"/>
                    <a:cs typeface="Arial" pitchFamily="34" charset="0"/>
                  </a:rPr>
                  <a:t>Load Current (mA)</a:t>
                </a:r>
              </a:p>
            </c:rich>
          </c:tx>
          <c:layout>
            <c:manualLayout>
              <c:xMode val="edge"/>
              <c:yMode val="edge"/>
              <c:x val="0.41625343343709942"/>
              <c:y val="0.94571913573731337"/>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pitchFamily="34" charset="0"/>
                <a:ea typeface="Calibri"/>
                <a:cs typeface="Arial" pitchFamily="34" charset="0"/>
              </a:defRPr>
            </a:pPr>
            <a:endParaRPr lang="en-US"/>
          </a:p>
        </c:txPr>
        <c:crossAx val="160257152"/>
        <c:crosses val="autoZero"/>
        <c:auto val="1"/>
        <c:lblAlgn val="ctr"/>
        <c:lblOffset val="100"/>
        <c:tickLblSkip val="20"/>
        <c:tickMarkSkip val="20"/>
        <c:noMultiLvlLbl val="0"/>
      </c:catAx>
      <c:valAx>
        <c:axId val="160257152"/>
        <c:scaling>
          <c:orientation val="minMax"/>
          <c:max val="95"/>
          <c:min val="65"/>
        </c:scaling>
        <c:delete val="0"/>
        <c:axPos val="l"/>
        <c:majorGridlines>
          <c:spPr>
            <a:ln w="15875">
              <a:solidFill>
                <a:srgbClr val="808080"/>
              </a:solidFill>
              <a:prstDash val="solid"/>
            </a:ln>
          </c:spPr>
        </c:majorGridlines>
        <c:min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400" b="1">
                    <a:solidFill>
                      <a:srgbClr val="FF0000"/>
                    </a:solidFill>
                    <a:latin typeface="Arial" pitchFamily="34" charset="0"/>
                    <a:cs typeface="Arial" pitchFamily="34" charset="0"/>
                  </a:rPr>
                  <a:t>Efficiency (%)</a:t>
                </a:r>
              </a:p>
            </c:rich>
          </c:tx>
          <c:layout>
            <c:manualLayout>
              <c:xMode val="edge"/>
              <c:yMode val="edge"/>
              <c:x val="1.2871858674081443E-2"/>
              <c:y val="0.3763817791568839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60242688"/>
        <c:crossesAt val="0"/>
        <c:crossBetween val="between"/>
        <c:majorUnit val="5"/>
        <c:minorUnit val="2.5"/>
      </c:valAx>
      <c:valAx>
        <c:axId val="160259072"/>
        <c:scaling>
          <c:orientation val="minMax"/>
        </c:scaling>
        <c:delete val="0"/>
        <c:axPos val="r"/>
        <c:title>
          <c:tx>
            <c:rich>
              <a:bodyPr rot="-5400000" vert="horz"/>
              <a:lstStyle/>
              <a:p>
                <a:pPr>
                  <a:defRPr sz="1400" b="1">
                    <a:solidFill>
                      <a:srgbClr val="0000FF"/>
                    </a:solidFill>
                  </a:defRPr>
                </a:pPr>
                <a:r>
                  <a:rPr lang="en-US" sz="1400" b="1">
                    <a:solidFill>
                      <a:srgbClr val="0000FF"/>
                    </a:solidFill>
                  </a:rPr>
                  <a:t>Power Loss (mW)</a:t>
                </a:r>
              </a:p>
            </c:rich>
          </c:tx>
          <c:layout>
            <c:manualLayout>
              <c:xMode val="edge"/>
              <c:yMode val="edge"/>
              <c:x val="0.95720616195060426"/>
              <c:y val="0.34716258649486992"/>
            </c:manualLayout>
          </c:layout>
          <c:overlay val="0"/>
        </c:title>
        <c:numFmt formatCode="0" sourceLinked="0"/>
        <c:majorTickMark val="out"/>
        <c:minorTickMark val="none"/>
        <c:tickLblPos val="nextTo"/>
        <c:txPr>
          <a:bodyPr/>
          <a:lstStyle/>
          <a:p>
            <a:pPr>
              <a:defRPr sz="1100" b="1">
                <a:solidFill>
                  <a:srgbClr val="0000FF"/>
                </a:solidFill>
              </a:defRPr>
            </a:pPr>
            <a:endParaRPr lang="en-US"/>
          </a:p>
        </c:txPr>
        <c:crossAx val="160265344"/>
        <c:crosses val="max"/>
        <c:crossBetween val="between"/>
      </c:valAx>
      <c:catAx>
        <c:axId val="160265344"/>
        <c:scaling>
          <c:orientation val="minMax"/>
        </c:scaling>
        <c:delete val="1"/>
        <c:axPos val="b"/>
        <c:numFmt formatCode="0.000" sourceLinked="1"/>
        <c:majorTickMark val="out"/>
        <c:minorTickMark val="none"/>
        <c:tickLblPos val="nextTo"/>
        <c:crossAx val="160259072"/>
        <c:crosses val="autoZero"/>
        <c:auto val="1"/>
        <c:lblAlgn val="ctr"/>
        <c:lblOffset val="100"/>
        <c:noMultiLvlLbl val="0"/>
      </c:catAx>
      <c:spPr>
        <a:noFill/>
        <a:ln w="25400">
          <a:noFill/>
        </a:ln>
      </c:spPr>
    </c:plotArea>
    <c:legend>
      <c:legendPos val="t"/>
      <c:layout>
        <c:manualLayout>
          <c:xMode val="edge"/>
          <c:yMode val="edge"/>
          <c:x val="0.38866500767592732"/>
          <c:y val="1.1892546194234431E-2"/>
          <c:w val="0.61133499232407273"/>
          <c:h val="9.7234170816987084E-2"/>
        </c:manualLayout>
      </c:layout>
      <c:overlay val="0"/>
      <c:spPr>
        <a:solidFill>
          <a:srgbClr val="FFFFFF"/>
        </a:solidFill>
        <a:ln w="25400">
          <a:noFill/>
        </a:ln>
      </c:spPr>
      <c:txPr>
        <a:bodyPr/>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chemeClr val="bg1"/>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baseline="0">
                <a:solidFill>
                  <a:srgbClr val="000000"/>
                </a:solidFill>
                <a:latin typeface="Arial" pitchFamily="34" charset="0"/>
                <a:ea typeface="Calibri"/>
                <a:cs typeface="Arial" pitchFamily="34" charset="0"/>
              </a:defRPr>
            </a:pPr>
            <a:r>
              <a:rPr lang="en-US" sz="2000">
                <a:latin typeface="Arial" pitchFamily="34" charset="0"/>
                <a:cs typeface="Arial" pitchFamily="34" charset="0"/>
                <a:sym typeface="Symbol"/>
              </a:rPr>
              <a:t></a:t>
            </a:r>
            <a:r>
              <a:rPr lang="en-US" sz="2000" b="1" i="0" u="none" strike="noStrike" baseline="0"/>
              <a:t>, V</a:t>
            </a:r>
            <a:r>
              <a:rPr lang="en-US" sz="2000" b="1" i="0" u="none" strike="noStrike" baseline="-25000"/>
              <a:t>IN</a:t>
            </a:r>
            <a:r>
              <a:rPr lang="en-US" sz="2000" b="1" i="0" u="none" strike="noStrike" baseline="0"/>
              <a:t> = V</a:t>
            </a:r>
            <a:r>
              <a:rPr lang="en-US" sz="2000" b="1" i="0" u="none" strike="noStrike" baseline="-25000"/>
              <a:t>IN(nom)</a:t>
            </a:r>
            <a:endParaRPr lang="en-US" sz="2000">
              <a:latin typeface="Arial" pitchFamily="34" charset="0"/>
              <a:cs typeface="Arial" pitchFamily="34" charset="0"/>
            </a:endParaRPr>
          </a:p>
        </c:rich>
      </c:tx>
      <c:layout>
        <c:manualLayout>
          <c:xMode val="edge"/>
          <c:yMode val="edge"/>
          <c:x val="0.10084794235626206"/>
          <c:y val="2.0639566697272373E-2"/>
        </c:manualLayout>
      </c:layout>
      <c:overlay val="0"/>
      <c:spPr>
        <a:noFill/>
        <a:ln w="25400">
          <a:noFill/>
        </a:ln>
      </c:spPr>
    </c:title>
    <c:autoTitleDeleted val="0"/>
    <c:plotArea>
      <c:layout>
        <c:manualLayout>
          <c:layoutTarget val="inner"/>
          <c:xMode val="edge"/>
          <c:yMode val="edge"/>
          <c:x val="8.5540561846730284E-2"/>
          <c:y val="0.12372903654825702"/>
          <c:w val="0.82265898741455901"/>
          <c:h val="0.76068566810117366"/>
        </c:manualLayout>
      </c:layout>
      <c:scatterChart>
        <c:scatterStyle val="smoothMarker"/>
        <c:varyColors val="0"/>
        <c:ser>
          <c:idx val="0"/>
          <c:order val="0"/>
          <c:tx>
            <c:v> Efficiency</c:v>
          </c:tx>
          <c:spPr>
            <a:ln w="31750">
              <a:solidFill>
                <a:srgbClr val="FF0000"/>
              </a:solidFill>
              <a:prstDash val="solid"/>
            </a:ln>
          </c:spPr>
          <c:marker>
            <c:symbol val="none"/>
          </c:marker>
          <c:xVal>
            <c:numRef>
              <c:f>Parameters!$BN$6:$BN$106</c:f>
              <c:numCache>
                <c:formatCode>0.000</c:formatCode>
                <c:ptCount val="101"/>
                <c:pt idx="0">
                  <c:v>0.8</c:v>
                </c:pt>
                <c:pt idx="1">
                  <c:v>8</c:v>
                </c:pt>
                <c:pt idx="2">
                  <c:v>16</c:v>
                </c:pt>
                <c:pt idx="3">
                  <c:v>24</c:v>
                </c:pt>
                <c:pt idx="100">
                  <c:v>800</c:v>
                </c:pt>
              </c:numCache>
            </c:numRef>
          </c:xVal>
          <c:yVal>
            <c:numRef>
              <c:f>Parameters!$BZ$6:$BZ$106</c:f>
              <c:numCache>
                <c:formatCode>0.00</c:formatCode>
                <c:ptCount val="101"/>
                <c:pt idx="0">
                  <c:v>100</c:v>
                </c:pt>
                <c:pt idx="1">
                  <c:v>100</c:v>
                </c:pt>
                <c:pt idx="2">
                  <c:v>100</c:v>
                </c:pt>
                <c:pt idx="3">
                  <c:v>100</c:v>
                </c:pt>
                <c:pt idx="100">
                  <c:v>100</c:v>
                </c:pt>
              </c:numCache>
            </c:numRef>
          </c:yVal>
          <c:smooth val="1"/>
        </c:ser>
        <c:dLbls>
          <c:showLegendKey val="0"/>
          <c:showVal val="0"/>
          <c:showCatName val="0"/>
          <c:showSerName val="0"/>
          <c:showPercent val="0"/>
          <c:showBubbleSize val="0"/>
        </c:dLbls>
        <c:axId val="160449664"/>
        <c:axId val="160451584"/>
      </c:scatterChart>
      <c:scatterChart>
        <c:scatterStyle val="smoothMarker"/>
        <c:varyColors val="0"/>
        <c:ser>
          <c:idx val="2"/>
          <c:order val="1"/>
          <c:tx>
            <c:v> IC Total Power Loss</c:v>
          </c:tx>
          <c:spPr>
            <a:ln w="38100">
              <a:solidFill>
                <a:srgbClr val="808000"/>
              </a:solidFill>
              <a:prstDash val="sysDash"/>
            </a:ln>
          </c:spPr>
          <c:marker>
            <c:symbol val="none"/>
          </c:marker>
          <c:xVal>
            <c:numRef>
              <c:f>Parameters!$BN$6:$BN$106</c:f>
              <c:numCache>
                <c:formatCode>0.000</c:formatCode>
                <c:ptCount val="101"/>
                <c:pt idx="0">
                  <c:v>0.8</c:v>
                </c:pt>
                <c:pt idx="1">
                  <c:v>8</c:v>
                </c:pt>
                <c:pt idx="2">
                  <c:v>16</c:v>
                </c:pt>
                <c:pt idx="3">
                  <c:v>24</c:v>
                </c:pt>
                <c:pt idx="100">
                  <c:v>800</c:v>
                </c:pt>
              </c:numCache>
            </c:numRef>
          </c:xVal>
          <c:yVal>
            <c:numRef>
              <c:f>Parameters!$CA$6:$CA$106</c:f>
              <c:numCache>
                <c:formatCode>0.00</c:formatCode>
                <c:ptCount val="101"/>
                <c:pt idx="0">
                  <c:v>0</c:v>
                </c:pt>
                <c:pt idx="1">
                  <c:v>0</c:v>
                </c:pt>
                <c:pt idx="2">
                  <c:v>0</c:v>
                </c:pt>
                <c:pt idx="3">
                  <c:v>0</c:v>
                </c:pt>
                <c:pt idx="100">
                  <c:v>0</c:v>
                </c:pt>
              </c:numCache>
            </c:numRef>
          </c:yVal>
          <c:smooth val="1"/>
        </c:ser>
        <c:ser>
          <c:idx val="1"/>
          <c:order val="2"/>
          <c:tx>
            <c:v> LDO + Quiescent Loss</c:v>
          </c:tx>
          <c:spPr>
            <a:ln w="38100">
              <a:solidFill>
                <a:srgbClr val="002060"/>
              </a:solidFill>
              <a:prstDash val="sysDot"/>
            </a:ln>
          </c:spPr>
          <c:marker>
            <c:symbol val="none"/>
          </c:marker>
          <c:xVal>
            <c:numRef>
              <c:f>Parameters!$BN$6:$BN$106</c:f>
              <c:numCache>
                <c:formatCode>0.000</c:formatCode>
                <c:ptCount val="101"/>
                <c:pt idx="0">
                  <c:v>0.8</c:v>
                </c:pt>
                <c:pt idx="1">
                  <c:v>8</c:v>
                </c:pt>
                <c:pt idx="2">
                  <c:v>16</c:v>
                </c:pt>
                <c:pt idx="3">
                  <c:v>24</c:v>
                </c:pt>
                <c:pt idx="100">
                  <c:v>800</c:v>
                </c:pt>
              </c:numCache>
            </c:numRef>
          </c:xVal>
          <c:yVal>
            <c:numRef>
              <c:f>Parameters!$CB$6:$CB$106</c:f>
              <c:numCache>
                <c:formatCode>0.00</c:formatCode>
                <c:ptCount val="101"/>
                <c:pt idx="0">
                  <c:v>0</c:v>
                </c:pt>
                <c:pt idx="1">
                  <c:v>0</c:v>
                </c:pt>
                <c:pt idx="2">
                  <c:v>0</c:v>
                </c:pt>
                <c:pt idx="3">
                  <c:v>0</c:v>
                </c:pt>
                <c:pt idx="100">
                  <c:v>0</c:v>
                </c:pt>
              </c:numCache>
            </c:numRef>
          </c:yVal>
          <c:smooth val="1"/>
        </c:ser>
        <c:ser>
          <c:idx val="3"/>
          <c:order val="3"/>
          <c:tx>
            <c:v> Inductor Loss</c:v>
          </c:tx>
          <c:spPr>
            <a:ln w="38100">
              <a:solidFill>
                <a:srgbClr val="800080"/>
              </a:solidFill>
              <a:prstDash val="dash"/>
            </a:ln>
          </c:spPr>
          <c:marker>
            <c:symbol val="none"/>
          </c:marker>
          <c:xVal>
            <c:numRef>
              <c:f>Parameters!$BN$6:$BN$106</c:f>
              <c:numCache>
                <c:formatCode>0.000</c:formatCode>
                <c:ptCount val="101"/>
                <c:pt idx="0">
                  <c:v>0.8</c:v>
                </c:pt>
                <c:pt idx="1">
                  <c:v>8</c:v>
                </c:pt>
                <c:pt idx="2">
                  <c:v>16</c:v>
                </c:pt>
                <c:pt idx="3">
                  <c:v>24</c:v>
                </c:pt>
                <c:pt idx="100">
                  <c:v>800</c:v>
                </c:pt>
              </c:numCache>
            </c:numRef>
          </c:xVal>
          <c:yVal>
            <c:numRef>
              <c:f>Parameters!$CC$6:$CC$106</c:f>
              <c:numCache>
                <c:formatCode>0.00</c:formatCode>
                <c:ptCount val="101"/>
                <c:pt idx="0">
                  <c:v>0</c:v>
                </c:pt>
                <c:pt idx="1">
                  <c:v>0</c:v>
                </c:pt>
                <c:pt idx="2">
                  <c:v>0</c:v>
                </c:pt>
                <c:pt idx="3">
                  <c:v>0</c:v>
                </c:pt>
                <c:pt idx="100">
                  <c:v>0</c:v>
                </c:pt>
              </c:numCache>
            </c:numRef>
          </c:yVal>
          <c:smooth val="1"/>
        </c:ser>
        <c:dLbls>
          <c:showLegendKey val="0"/>
          <c:showVal val="0"/>
          <c:showCatName val="0"/>
          <c:showSerName val="0"/>
          <c:showPercent val="0"/>
          <c:showBubbleSize val="0"/>
        </c:dLbls>
        <c:axId val="160459776"/>
        <c:axId val="160457856"/>
      </c:scatterChart>
      <c:valAx>
        <c:axId val="160449664"/>
        <c:scaling>
          <c:logBase val="10"/>
          <c:orientation val="minMax"/>
          <c:min val="0.1"/>
        </c:scaling>
        <c:delete val="0"/>
        <c:axPos val="b"/>
        <c:majorGridlines>
          <c:spPr>
            <a:ln w="15875">
              <a:solidFill>
                <a:srgbClr val="969696"/>
              </a:solidFill>
              <a:prstDash val="sysDash"/>
            </a:ln>
          </c:spPr>
        </c:majorGridlines>
        <c:title>
          <c:tx>
            <c:rich>
              <a:bodyPr/>
              <a:lstStyle/>
              <a:p>
                <a:pPr>
                  <a:defRPr sz="1300" b="1" i="0" u="none" strike="noStrike" baseline="0">
                    <a:solidFill>
                      <a:sysClr val="windowText" lastClr="000000"/>
                    </a:solidFill>
                    <a:latin typeface="Arial" pitchFamily="34" charset="0"/>
                    <a:ea typeface="Calibri"/>
                    <a:cs typeface="Arial" pitchFamily="34" charset="0"/>
                  </a:defRPr>
                </a:pPr>
                <a:r>
                  <a:rPr lang="en-US" sz="1300">
                    <a:solidFill>
                      <a:sysClr val="windowText" lastClr="000000"/>
                    </a:solidFill>
                    <a:latin typeface="Arial" pitchFamily="34" charset="0"/>
                    <a:cs typeface="Arial" pitchFamily="34" charset="0"/>
                  </a:rPr>
                  <a:t>Load Current (mA)</a:t>
                </a:r>
              </a:p>
            </c:rich>
          </c:tx>
          <c:layout>
            <c:manualLayout>
              <c:xMode val="edge"/>
              <c:yMode val="edge"/>
              <c:x val="0.41625343343709942"/>
              <c:y val="0.94571913573731337"/>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1100" b="1" i="0" u="none" strike="noStrike" baseline="0">
                <a:solidFill>
                  <a:srgbClr val="000000"/>
                </a:solidFill>
                <a:latin typeface="Arial" pitchFamily="34" charset="0"/>
                <a:ea typeface="Calibri"/>
                <a:cs typeface="Arial" pitchFamily="34" charset="0"/>
              </a:defRPr>
            </a:pPr>
            <a:endParaRPr lang="en-US"/>
          </a:p>
        </c:txPr>
        <c:crossAx val="160451584"/>
        <c:crosses val="autoZero"/>
        <c:crossBetween val="midCat"/>
      </c:valAx>
      <c:valAx>
        <c:axId val="160451584"/>
        <c:scaling>
          <c:orientation val="minMax"/>
          <c:max val="95"/>
          <c:min val="60"/>
        </c:scaling>
        <c:delete val="0"/>
        <c:axPos val="l"/>
        <c:majorGridlines>
          <c:spPr>
            <a:ln w="15875">
              <a:solidFill>
                <a:srgbClr val="808080"/>
              </a:solidFill>
              <a:prstDash val="solid"/>
            </a:ln>
          </c:spPr>
        </c:majorGridlines>
        <c:min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400" b="1">
                    <a:solidFill>
                      <a:srgbClr val="FF0000"/>
                    </a:solidFill>
                    <a:latin typeface="Arial" pitchFamily="34" charset="0"/>
                    <a:cs typeface="Arial" pitchFamily="34" charset="0"/>
                  </a:rPr>
                  <a:t>Efficiency (%)</a:t>
                </a:r>
              </a:p>
            </c:rich>
          </c:tx>
          <c:layout>
            <c:manualLayout>
              <c:xMode val="edge"/>
              <c:yMode val="edge"/>
              <c:x val="1.2871858674081443E-2"/>
              <c:y val="0.37638177915688398"/>
            </c:manualLayout>
          </c:layout>
          <c:overlay val="0"/>
          <c:spPr>
            <a:noFill/>
            <a:ln w="25400">
              <a:noFill/>
            </a:ln>
          </c:spPr>
        </c:title>
        <c:numFmt formatCode="#,##0" sourceLinked="0"/>
        <c:majorTickMark val="out"/>
        <c:minorTickMark val="out"/>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60449664"/>
        <c:crossesAt val="0"/>
        <c:crossBetween val="midCat"/>
        <c:majorUnit val="5"/>
        <c:minorUnit val="2.5"/>
      </c:valAx>
      <c:valAx>
        <c:axId val="160457856"/>
        <c:scaling>
          <c:orientation val="minMax"/>
        </c:scaling>
        <c:delete val="0"/>
        <c:axPos val="r"/>
        <c:title>
          <c:tx>
            <c:rich>
              <a:bodyPr rot="-5400000" vert="horz"/>
              <a:lstStyle/>
              <a:p>
                <a:pPr>
                  <a:defRPr sz="1400" b="1">
                    <a:solidFill>
                      <a:srgbClr val="0000FF"/>
                    </a:solidFill>
                  </a:defRPr>
                </a:pPr>
                <a:r>
                  <a:rPr lang="en-US" sz="1400" b="1">
                    <a:solidFill>
                      <a:srgbClr val="0000FF"/>
                    </a:solidFill>
                  </a:rPr>
                  <a:t>Power Loss (mW)</a:t>
                </a:r>
              </a:p>
            </c:rich>
          </c:tx>
          <c:layout>
            <c:manualLayout>
              <c:xMode val="edge"/>
              <c:yMode val="edge"/>
              <c:x val="0.95563568688189593"/>
              <c:y val="0.33988985922214265"/>
            </c:manualLayout>
          </c:layout>
          <c:overlay val="0"/>
        </c:title>
        <c:numFmt formatCode="0" sourceLinked="0"/>
        <c:majorTickMark val="out"/>
        <c:minorTickMark val="none"/>
        <c:tickLblPos val="nextTo"/>
        <c:txPr>
          <a:bodyPr/>
          <a:lstStyle/>
          <a:p>
            <a:pPr>
              <a:defRPr sz="1100" b="1">
                <a:solidFill>
                  <a:srgbClr val="0000FF"/>
                </a:solidFill>
              </a:defRPr>
            </a:pPr>
            <a:endParaRPr lang="en-US"/>
          </a:p>
        </c:txPr>
        <c:crossAx val="160459776"/>
        <c:crosses val="max"/>
        <c:crossBetween val="midCat"/>
      </c:valAx>
      <c:valAx>
        <c:axId val="160459776"/>
        <c:scaling>
          <c:logBase val="10"/>
          <c:orientation val="minMax"/>
        </c:scaling>
        <c:delete val="1"/>
        <c:axPos val="b"/>
        <c:numFmt formatCode="0.000" sourceLinked="1"/>
        <c:majorTickMark val="out"/>
        <c:minorTickMark val="none"/>
        <c:tickLblPos val="nextTo"/>
        <c:crossAx val="160457856"/>
        <c:crosses val="autoZero"/>
        <c:crossBetween val="midCat"/>
      </c:valAx>
      <c:spPr>
        <a:noFill/>
        <a:ln w="25400">
          <a:noFill/>
        </a:ln>
      </c:spPr>
    </c:plotArea>
    <c:legend>
      <c:legendPos val="t"/>
      <c:layout>
        <c:manualLayout>
          <c:xMode val="edge"/>
          <c:yMode val="edge"/>
          <c:x val="0.38866500344700727"/>
          <c:y val="1.1892546194234431E-2"/>
          <c:w val="0.61133499655299273"/>
          <c:h val="9.2790073968026715E-2"/>
        </c:manualLayout>
      </c:layout>
      <c:overlay val="0"/>
      <c:spPr>
        <a:solidFill>
          <a:srgbClr val="FFFFFF"/>
        </a:solidFill>
        <a:ln w="25400">
          <a:noFill/>
        </a:ln>
      </c:spPr>
      <c:txPr>
        <a:bodyPr/>
        <a:lstStyle/>
        <a:p>
          <a:pPr>
            <a:defRPr sz="12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chemeClr val="bg1"/>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paperSize="5"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t>Breakdown of </a:t>
            </a:r>
            <a:r>
              <a:rPr lang="en-US" sz="1800" b="1" i="0" baseline="0">
                <a:solidFill>
                  <a:srgbClr val="FF0000"/>
                </a:solidFill>
              </a:rPr>
              <a:t>COT</a:t>
            </a:r>
            <a:r>
              <a:rPr lang="en-US" sz="1800" b="1" i="0" baseline="0"/>
              <a:t> Efficiency Losses (</a:t>
            </a:r>
            <a:r>
              <a:rPr lang="en-US" sz="1800" b="1" i="0" u="none" strike="noStrike" baseline="0"/>
              <a:t>I</a:t>
            </a:r>
            <a:r>
              <a:rPr lang="en-US" sz="1800" b="1" i="0" u="none" strike="noStrike" baseline="-25000"/>
              <a:t>OUT</a:t>
            </a:r>
            <a:r>
              <a:rPr lang="en-US" sz="1800" b="1" i="0" u="none" strike="noStrike" baseline="0"/>
              <a:t> = </a:t>
            </a:r>
            <a:r>
              <a:rPr lang="en-US" sz="1800" b="1" i="0" baseline="0"/>
              <a:t>1mA)</a:t>
            </a:r>
            <a:endParaRPr lang="en-US" sz="1800"/>
          </a:p>
        </c:rich>
      </c:tx>
      <c:layout>
        <c:manualLayout>
          <c:xMode val="edge"/>
          <c:yMode val="edge"/>
          <c:x val="0.32963167587477016"/>
          <c:y val="3.5906642728904876E-2"/>
        </c:manualLayout>
      </c:layout>
      <c:overlay val="0"/>
    </c:title>
    <c:autoTitleDeleted val="0"/>
    <c:plotArea>
      <c:layout>
        <c:manualLayout>
          <c:layoutTarget val="inner"/>
          <c:xMode val="edge"/>
          <c:yMode val="edge"/>
          <c:x val="9.2844202898550721E-2"/>
          <c:y val="0.14821658962288614"/>
          <c:w val="0.89442960513913661"/>
          <c:h val="0.76382419881536368"/>
        </c:manualLayout>
      </c:layout>
      <c:barChart>
        <c:barDir val="col"/>
        <c:grouping val="clustered"/>
        <c:varyColors val="0"/>
        <c:ser>
          <c:idx val="6"/>
          <c:order val="0"/>
          <c:tx>
            <c:strRef>
              <c:f>Parameters!$BA$5</c:f>
              <c:strCache>
                <c:ptCount val="1"/>
                <c:pt idx="0">
                  <c:v>High-side MOSFET Rdson %</c:v>
                </c:pt>
              </c:strCache>
            </c:strRef>
          </c:tx>
          <c:spPr>
            <a:solidFill>
              <a:srgbClr val="FF0000"/>
            </a:solidFill>
            <a:ln w="12700">
              <a:solidFill>
                <a:srgbClr val="000000"/>
              </a:solidFill>
              <a:prstDash val="solid"/>
            </a:ln>
          </c:spPr>
          <c:invertIfNegative val="0"/>
          <c:dLbls>
            <c:dLbl>
              <c:idx val="0"/>
              <c:tx>
                <c:rich>
                  <a:bodyPr/>
                  <a:lstStyle/>
                  <a:p>
                    <a:r>
                      <a:rPr lang="en-US"/>
                      <a:t>High-side MOSFET</a:t>
                    </a:r>
                  </a:p>
                  <a:p>
                    <a:r>
                      <a:rPr lang="en-US"/>
                      <a:t>Rdson</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1"/>
            <c:showPercent val="0"/>
            <c:showBubbleSize val="0"/>
            <c:showLeaderLines val="0"/>
          </c:dLbls>
          <c:val>
            <c:numRef>
              <c:f>Parameters!$BA$108</c:f>
              <c:numCache>
                <c:formatCode>0.000%</c:formatCode>
                <c:ptCount val="1"/>
                <c:pt idx="0">
                  <c:v>3.6409104085968987E-3</c:v>
                </c:pt>
              </c:numCache>
            </c:numRef>
          </c:val>
        </c:ser>
        <c:ser>
          <c:idx val="5"/>
          <c:order val="1"/>
          <c:tx>
            <c:strRef>
              <c:f>Parameters!$BD$5</c:f>
              <c:strCache>
                <c:ptCount val="1"/>
                <c:pt idx="0">
                  <c:v>High-side MOSFET Switching Loss %</c:v>
                </c:pt>
              </c:strCache>
            </c:strRef>
          </c:tx>
          <c:spPr>
            <a:solidFill>
              <a:srgbClr val="0000FF"/>
            </a:solidFill>
            <a:ln w="12700">
              <a:solidFill>
                <a:srgbClr val="000000"/>
              </a:solidFill>
              <a:prstDash val="solid"/>
            </a:ln>
          </c:spPr>
          <c:invertIfNegative val="0"/>
          <c:dLbls>
            <c:dLbl>
              <c:idx val="0"/>
              <c:layout>
                <c:manualLayout>
                  <c:x val="-9.2081031307550637E-4"/>
                  <c:y val="-7.1813285457809741E-3"/>
                </c:manualLayout>
              </c:layout>
              <c:tx>
                <c:rich>
                  <a:bodyPr/>
                  <a:lstStyle/>
                  <a:p>
                    <a:r>
                      <a:rPr lang="en-US"/>
                      <a:t>High-side MOSFET</a:t>
                    </a:r>
                  </a:p>
                  <a:p>
                    <a:r>
                      <a:rPr lang="en-US"/>
                      <a:t>Switching</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0"/>
            <c:showPercent val="0"/>
            <c:showBubbleSize val="0"/>
          </c:dLbls>
          <c:val>
            <c:numRef>
              <c:f>Parameters!$BD$108</c:f>
              <c:numCache>
                <c:formatCode>0.000%</c:formatCode>
                <c:ptCount val="1"/>
                <c:pt idx="0">
                  <c:v>4.5907837520612008E-3</c:v>
                </c:pt>
              </c:numCache>
            </c:numRef>
          </c:val>
        </c:ser>
        <c:ser>
          <c:idx val="7"/>
          <c:order val="2"/>
          <c:tx>
            <c:strRef>
              <c:f>Parameters!$BB$5</c:f>
              <c:strCache>
                <c:ptCount val="1"/>
                <c:pt idx="0">
                  <c:v>Low-side MOSFET Rdson %</c:v>
                </c:pt>
              </c:strCache>
            </c:strRef>
          </c:tx>
          <c:spPr>
            <a:solidFill>
              <a:srgbClr val="FF6600"/>
            </a:solidFill>
            <a:ln w="12700">
              <a:solidFill>
                <a:srgbClr val="000000"/>
              </a:solidFill>
              <a:prstDash val="solid"/>
            </a:ln>
          </c:spPr>
          <c:invertIfNegative val="0"/>
          <c:dLbls>
            <c:dLbl>
              <c:idx val="0"/>
              <c:tx>
                <c:rich>
                  <a:bodyPr/>
                  <a:lstStyle/>
                  <a:p>
                    <a:r>
                      <a:rPr lang="en-US" sz="1200" b="1"/>
                      <a:t>L</a:t>
                    </a:r>
                    <a:r>
                      <a:rPr lang="en-US" sz="1200"/>
                      <a:t>ow-side MOSFET</a:t>
                    </a:r>
                  </a:p>
                  <a:p>
                    <a:r>
                      <a:rPr lang="en-US" sz="1200"/>
                      <a:t>Rdson</a:t>
                    </a:r>
                  </a:p>
                </c:rich>
              </c:tx>
              <c:dLblPos val="outEnd"/>
              <c:showLegendKey val="0"/>
              <c:showVal val="1"/>
              <c:showCatName val="0"/>
              <c:showSerName val="1"/>
              <c:showPercent val="0"/>
              <c:showBubbleSize val="0"/>
            </c:dLbl>
            <c:txPr>
              <a:bodyPr/>
              <a:lstStyle/>
              <a:p>
                <a:pPr>
                  <a:defRPr b="1"/>
                </a:pPr>
                <a:endParaRPr lang="en-US"/>
              </a:p>
            </c:txPr>
            <c:dLblPos val="outEnd"/>
            <c:showLegendKey val="0"/>
            <c:showVal val="1"/>
            <c:showCatName val="0"/>
            <c:showSerName val="1"/>
            <c:showPercent val="0"/>
            <c:showBubbleSize val="0"/>
            <c:showLeaderLines val="0"/>
          </c:dLbls>
          <c:val>
            <c:numRef>
              <c:f>Parameters!$BB$108</c:f>
              <c:numCache>
                <c:formatCode>0.000%</c:formatCode>
                <c:ptCount val="1"/>
                <c:pt idx="0">
                  <c:v>6.5692245841190103E-3</c:v>
                </c:pt>
              </c:numCache>
            </c:numRef>
          </c:val>
        </c:ser>
        <c:ser>
          <c:idx val="3"/>
          <c:order val="3"/>
          <c:tx>
            <c:strRef>
              <c:f>Parameters!$BF$5</c:f>
              <c:strCache>
                <c:ptCount val="1"/>
                <c:pt idx="0">
                  <c:v>Deadtime Loss %</c:v>
                </c:pt>
              </c:strCache>
            </c:strRef>
          </c:tx>
          <c:spPr>
            <a:solidFill>
              <a:srgbClr val="666699"/>
            </a:solidFill>
            <a:ln w="12700">
              <a:solidFill>
                <a:srgbClr val="000000"/>
              </a:solidFill>
              <a:prstDash val="solid"/>
            </a:ln>
          </c:spPr>
          <c:invertIfNegative val="0"/>
          <c:dLbls>
            <c:dLbl>
              <c:idx val="0"/>
              <c:layout>
                <c:manualLayout>
                  <c:x val="0"/>
                  <c:y val="-9.5751047277079695E-3"/>
                </c:manualLayout>
              </c:layout>
              <c:tx>
                <c:rich>
                  <a:bodyPr/>
                  <a:lstStyle/>
                  <a:p>
                    <a:r>
                      <a:rPr lang="en-US"/>
                      <a:t>Low-side MOSFET</a:t>
                    </a:r>
                  </a:p>
                  <a:p>
                    <a:r>
                      <a:rPr lang="en-US"/>
                      <a:t>Deadtime </a:t>
                    </a:r>
                  </a:p>
                </c:rich>
              </c:tx>
              <c:dLblPos val="outEnd"/>
              <c:showLegendKey val="0"/>
              <c:showVal val="0"/>
              <c:showCatName val="0"/>
              <c:showSerName val="1"/>
              <c:showPercent val="0"/>
              <c:showBubbleSize val="0"/>
            </c:dLbl>
            <c:txPr>
              <a:bodyPr/>
              <a:lstStyle/>
              <a:p>
                <a:pPr>
                  <a:defRPr sz="1200" b="1"/>
                </a:pPr>
                <a:endParaRPr lang="en-US"/>
              </a:p>
            </c:txPr>
            <c:dLblPos val="outEnd"/>
            <c:showLegendKey val="0"/>
            <c:showVal val="0"/>
            <c:showCatName val="0"/>
            <c:showSerName val="1"/>
            <c:showPercent val="0"/>
            <c:showBubbleSize val="0"/>
            <c:showLeaderLines val="0"/>
          </c:dLbls>
          <c:val>
            <c:numRef>
              <c:f>Parameters!$BF$108</c:f>
              <c:numCache>
                <c:formatCode>0.000%</c:formatCode>
                <c:ptCount val="1"/>
                <c:pt idx="0">
                  <c:v>7.3751579484765363E-4</c:v>
                </c:pt>
              </c:numCache>
            </c:numRef>
          </c:val>
        </c:ser>
        <c:ser>
          <c:idx val="2"/>
          <c:order val="4"/>
          <c:tx>
            <c:strRef>
              <c:f>Parameters!$BC$5</c:f>
              <c:strCache>
                <c:ptCount val="1"/>
                <c:pt idx="0">
                  <c:v>Gate Drive (Qg) Loss from Vin %</c:v>
                </c:pt>
              </c:strCache>
            </c:strRef>
          </c:tx>
          <c:spPr>
            <a:solidFill>
              <a:srgbClr val="00FFFF"/>
            </a:solidFill>
            <a:ln w="12700">
              <a:solidFill>
                <a:srgbClr val="000000"/>
              </a:solidFill>
              <a:prstDash val="solid"/>
            </a:ln>
          </c:spPr>
          <c:invertIfNegative val="0"/>
          <c:dLbls>
            <c:dLbl>
              <c:idx val="0"/>
              <c:tx>
                <c:rich>
                  <a:bodyPr/>
                  <a:lstStyle/>
                  <a:p>
                    <a:r>
                      <a:rPr lang="en-US"/>
                      <a:t>Gate Drive (Qg)</a:t>
                    </a:r>
                  </a:p>
                  <a:p>
                    <a:r>
                      <a:rPr lang="en-US"/>
                      <a:t>Loss</a:t>
                    </a:r>
                  </a:p>
                </c:rich>
              </c:tx>
              <c:dLblPos val="outEnd"/>
              <c:showLegendKey val="0"/>
              <c:showVal val="0"/>
              <c:showCatName val="0"/>
              <c:showSerName val="1"/>
              <c:showPercent val="0"/>
              <c:showBubbleSize val="0"/>
            </c:dLbl>
            <c:txPr>
              <a:bodyPr rot="0" vert="horz"/>
              <a:lstStyle/>
              <a:p>
                <a:pPr>
                  <a:defRPr sz="1200" b="1"/>
                </a:pPr>
                <a:endParaRPr lang="en-US"/>
              </a:p>
            </c:txPr>
            <c:dLblPos val="outEnd"/>
            <c:showLegendKey val="0"/>
            <c:showVal val="0"/>
            <c:showCatName val="0"/>
            <c:showSerName val="0"/>
            <c:showPercent val="0"/>
            <c:showBubbleSize val="0"/>
          </c:dLbls>
          <c:val>
            <c:numRef>
              <c:f>Parameters!$BC$108</c:f>
              <c:numCache>
                <c:formatCode>0.000%</c:formatCode>
                <c:ptCount val="1"/>
                <c:pt idx="0">
                  <c:v>5.4394694205683519E-2</c:v>
                </c:pt>
              </c:numCache>
            </c:numRef>
          </c:val>
        </c:ser>
        <c:ser>
          <c:idx val="1"/>
          <c:order val="5"/>
          <c:tx>
            <c:strRef>
              <c:f>Parameters!$BE$5</c:f>
              <c:strCache>
                <c:ptCount val="1"/>
                <c:pt idx="0">
                  <c:v>Reverse Recovery &amp; Leakage Loss %</c:v>
                </c:pt>
              </c:strCache>
            </c:strRef>
          </c:tx>
          <c:invertIfNegative val="0"/>
          <c:dLbls>
            <c:dLbl>
              <c:idx val="0"/>
              <c:tx>
                <c:rich>
                  <a:bodyPr/>
                  <a:lstStyle/>
                  <a:p>
                    <a:r>
                      <a:rPr lang="en-US" sz="1200" b="1"/>
                      <a:t>Reverse Recovery</a:t>
                    </a:r>
                  </a:p>
                  <a:p>
                    <a:r>
                      <a:rPr lang="en-US" sz="1200" b="1"/>
                      <a:t>Loss</a:t>
                    </a:r>
                  </a:p>
                </c:rich>
              </c:tx>
              <c:showLegendKey val="0"/>
              <c:showVal val="0"/>
              <c:showCatName val="0"/>
              <c:showSerName val="1"/>
              <c:showPercent val="0"/>
              <c:showBubbleSize val="0"/>
            </c:dLbl>
            <c:showLegendKey val="0"/>
            <c:showVal val="0"/>
            <c:showCatName val="0"/>
            <c:showSerName val="1"/>
            <c:showPercent val="0"/>
            <c:showBubbleSize val="0"/>
            <c:showLeaderLines val="0"/>
          </c:dLbls>
          <c:val>
            <c:numRef>
              <c:f>Parameters!$BE$108</c:f>
              <c:numCache>
                <c:formatCode>0.000%</c:formatCode>
                <c:ptCount val="1"/>
                <c:pt idx="0">
                  <c:v>0</c:v>
                </c:pt>
              </c:numCache>
            </c:numRef>
          </c:val>
        </c:ser>
        <c:ser>
          <c:idx val="8"/>
          <c:order val="6"/>
          <c:tx>
            <c:strRef>
              <c:f>Parameters!$BG$5</c:f>
              <c:strCache>
                <c:ptCount val="1"/>
                <c:pt idx="0">
                  <c:v>Inductor Cu Loss %</c:v>
                </c:pt>
              </c:strCache>
            </c:strRef>
          </c:tx>
          <c:spPr>
            <a:solidFill>
              <a:srgbClr val="00FF00"/>
            </a:solidFill>
            <a:ln w="12700">
              <a:solidFill>
                <a:srgbClr val="000000"/>
              </a:solidFill>
              <a:prstDash val="solid"/>
            </a:ln>
          </c:spPr>
          <c:invertIfNegative val="0"/>
          <c:dLbls>
            <c:dLbl>
              <c:idx val="0"/>
              <c:tx>
                <c:rich>
                  <a:bodyPr/>
                  <a:lstStyle/>
                  <a:p>
                    <a:r>
                      <a:rPr lang="en-US"/>
                      <a:t>Inductor DCR</a:t>
                    </a:r>
                  </a:p>
                  <a:p>
                    <a:r>
                      <a:rPr lang="en-US"/>
                      <a:t>Loss</a:t>
                    </a:r>
                  </a:p>
                </c:rich>
              </c:tx>
              <c:showLegendKey val="0"/>
              <c:showVal val="0"/>
              <c:showCatName val="0"/>
              <c:showSerName val="1"/>
              <c:showPercent val="0"/>
              <c:showBubbleSize val="0"/>
            </c:dLbl>
            <c:txPr>
              <a:bodyPr/>
              <a:lstStyle/>
              <a:p>
                <a:pPr>
                  <a:defRPr sz="1200" b="1"/>
                </a:pPr>
                <a:endParaRPr lang="en-US"/>
              </a:p>
            </c:txPr>
            <c:showLegendKey val="0"/>
            <c:showVal val="0"/>
            <c:showCatName val="0"/>
            <c:showSerName val="0"/>
            <c:showPercent val="0"/>
            <c:showBubbleSize val="0"/>
          </c:dLbls>
          <c:val>
            <c:numRef>
              <c:f>Parameters!$BG$108</c:f>
              <c:numCache>
                <c:formatCode>0.000%</c:formatCode>
                <c:ptCount val="1"/>
                <c:pt idx="0">
                  <c:v>7.2151246180390156E-3</c:v>
                </c:pt>
              </c:numCache>
            </c:numRef>
          </c:val>
        </c:ser>
        <c:ser>
          <c:idx val="4"/>
          <c:order val="7"/>
          <c:tx>
            <c:strRef>
              <c:f>Parameters!$BH$5</c:f>
              <c:strCache>
                <c:ptCount val="1"/>
                <c:pt idx="0">
                  <c:v>Inductor Core Loss %</c:v>
                </c:pt>
              </c:strCache>
            </c:strRef>
          </c:tx>
          <c:spPr>
            <a:solidFill>
              <a:srgbClr val="99CC00"/>
            </a:solidFill>
            <a:ln w="12700">
              <a:solidFill>
                <a:srgbClr val="000000"/>
              </a:solidFill>
              <a:prstDash val="solid"/>
            </a:ln>
          </c:spPr>
          <c:invertIfNegative val="0"/>
          <c:dLbls>
            <c:dLbl>
              <c:idx val="0"/>
              <c:tx>
                <c:rich>
                  <a:bodyPr/>
                  <a:lstStyle/>
                  <a:p>
                    <a:r>
                      <a:rPr lang="en-US"/>
                      <a:t>Inductor Core</a:t>
                    </a:r>
                  </a:p>
                  <a:p>
                    <a:r>
                      <a:rPr lang="en-US"/>
                      <a:t>Loss</a:t>
                    </a:r>
                  </a:p>
                </c:rich>
              </c:tx>
              <c:showLegendKey val="0"/>
              <c:showVal val="0"/>
              <c:showCatName val="0"/>
              <c:showSerName val="1"/>
              <c:showPercent val="0"/>
              <c:showBubbleSize val="0"/>
            </c:dLbl>
            <c:txPr>
              <a:bodyPr/>
              <a:lstStyle/>
              <a:p>
                <a:pPr>
                  <a:defRPr sz="1200" b="1"/>
                </a:pPr>
                <a:endParaRPr lang="en-US"/>
              </a:p>
            </c:txPr>
            <c:showLegendKey val="0"/>
            <c:showVal val="0"/>
            <c:showCatName val="0"/>
            <c:showSerName val="0"/>
            <c:showPercent val="0"/>
            <c:showBubbleSize val="0"/>
          </c:dLbls>
          <c:val>
            <c:numRef>
              <c:f>Parameters!$BH$108</c:f>
              <c:numCache>
                <c:formatCode>0.000%</c:formatCode>
                <c:ptCount val="1"/>
                <c:pt idx="0">
                  <c:v>1.4929120352630757E-2</c:v>
                </c:pt>
              </c:numCache>
            </c:numRef>
          </c:val>
        </c:ser>
        <c:ser>
          <c:idx val="0"/>
          <c:order val="8"/>
          <c:tx>
            <c:strRef>
              <c:f>Parameters!$BJ$5</c:f>
              <c:strCache>
                <c:ptCount val="1"/>
                <c:pt idx="0">
                  <c:v>Quiescent Current Loss %</c:v>
                </c:pt>
              </c:strCache>
            </c:strRef>
          </c:tx>
          <c:invertIfNegative val="0"/>
          <c:dLbls>
            <c:dLbl>
              <c:idx val="0"/>
              <c:tx>
                <c:rich>
                  <a:bodyPr/>
                  <a:lstStyle/>
                  <a:p>
                    <a:r>
                      <a:rPr lang="en-US"/>
                      <a:t>Quiescent Current</a:t>
                    </a:r>
                  </a:p>
                  <a:p>
                    <a:r>
                      <a:rPr lang="en-US"/>
                      <a:t>Loss </a:t>
                    </a:r>
                  </a:p>
                </c:rich>
              </c:tx>
              <c:showLegendKey val="0"/>
              <c:showVal val="0"/>
              <c:showCatName val="0"/>
              <c:showSerName val="1"/>
              <c:showPercent val="0"/>
              <c:showBubbleSize val="0"/>
            </c:dLbl>
            <c:numFmt formatCode="0.0E+00" sourceLinked="0"/>
            <c:spPr>
              <a:noFill/>
            </c:spPr>
            <c:txPr>
              <a:bodyPr rot="0" vert="horz" anchor="ctr" anchorCtr="0"/>
              <a:lstStyle/>
              <a:p>
                <a:pPr>
                  <a:defRPr sz="1200" b="1"/>
                </a:pPr>
                <a:endParaRPr lang="en-US"/>
              </a:p>
            </c:txPr>
            <c:showLegendKey val="0"/>
            <c:showVal val="0"/>
            <c:showCatName val="0"/>
            <c:showSerName val="0"/>
            <c:showPercent val="0"/>
            <c:showBubbleSize val="0"/>
          </c:dLbls>
          <c:val>
            <c:numRef>
              <c:f>Parameters!$BJ$108</c:f>
              <c:numCache>
                <c:formatCode>0.000%</c:formatCode>
                <c:ptCount val="1"/>
                <c:pt idx="0">
                  <c:v>8.2551506228875166E-2</c:v>
                </c:pt>
              </c:numCache>
            </c:numRef>
          </c:val>
        </c:ser>
        <c:dLbls>
          <c:showLegendKey val="0"/>
          <c:showVal val="0"/>
          <c:showCatName val="0"/>
          <c:showSerName val="0"/>
          <c:showPercent val="0"/>
          <c:showBubbleSize val="0"/>
        </c:dLbls>
        <c:gapWidth val="101"/>
        <c:overlap val="-70"/>
        <c:axId val="160569216"/>
        <c:axId val="160570752"/>
      </c:barChart>
      <c:catAx>
        <c:axId val="160569216"/>
        <c:scaling>
          <c:orientation val="minMax"/>
        </c:scaling>
        <c:delete val="0"/>
        <c:axPos val="b"/>
        <c:numFmt formatCode="General" sourceLinked="1"/>
        <c:majorTickMark val="none"/>
        <c:minorTickMark val="none"/>
        <c:tickLblPos val="none"/>
        <c:spPr>
          <a:ln w="3175">
            <a:solidFill>
              <a:srgbClr val="000000"/>
            </a:solidFill>
            <a:prstDash val="solid"/>
          </a:ln>
        </c:spPr>
        <c:txPr>
          <a:bodyPr rot="0" vert="horz"/>
          <a:lstStyle/>
          <a:p>
            <a:pPr>
              <a:defRPr sz="1725" b="0" i="0" u="none" strike="noStrike" baseline="0">
                <a:solidFill>
                  <a:srgbClr val="000000"/>
                </a:solidFill>
                <a:latin typeface="Arial"/>
                <a:ea typeface="Arial"/>
                <a:cs typeface="Arial"/>
              </a:defRPr>
            </a:pPr>
            <a:endParaRPr lang="en-US"/>
          </a:p>
        </c:txPr>
        <c:crossAx val="160570752"/>
        <c:crossesAt val="0"/>
        <c:auto val="1"/>
        <c:lblAlgn val="ctr"/>
        <c:lblOffset val="100"/>
        <c:noMultiLvlLbl val="0"/>
      </c:catAx>
      <c:valAx>
        <c:axId val="160570752"/>
        <c:scaling>
          <c:orientation val="minMax"/>
          <c:min val="0"/>
        </c:scaling>
        <c:delete val="0"/>
        <c:axPos val="l"/>
        <c:majorGridlines>
          <c:spPr>
            <a:ln>
              <a:prstDash val="lgDash"/>
            </a:ln>
          </c:spPr>
        </c:majorGridlines>
        <c:title>
          <c:tx>
            <c:rich>
              <a:bodyPr/>
              <a:lstStyle/>
              <a:p>
                <a:pPr>
                  <a:defRPr b="1"/>
                </a:pPr>
                <a:r>
                  <a:rPr lang="en-US" b="1"/>
                  <a:t>Loss</a:t>
                </a:r>
                <a:r>
                  <a:rPr lang="en-US" b="1" baseline="0"/>
                  <a:t> Contributors</a:t>
                </a:r>
                <a:endParaRPr lang="en-US" b="1"/>
              </a:p>
            </c:rich>
          </c:tx>
          <c:layout>
            <c:manualLayout>
              <c:xMode val="edge"/>
              <c:yMode val="edge"/>
              <c:x val="9.9337306593581982E-3"/>
              <c:y val="0.30210944457795558"/>
            </c:manualLayout>
          </c:layout>
          <c:overlay val="0"/>
        </c:title>
        <c:numFmt formatCode="0.0%" sourceLinked="0"/>
        <c:majorTickMark val="out"/>
        <c:minorTickMark val="out"/>
        <c:tickLblPos val="low"/>
        <c:crossAx val="160569216"/>
        <c:crosses val="autoZero"/>
        <c:crossBetween val="between"/>
      </c:valAx>
      <c:spPr>
        <a:solidFill>
          <a:schemeClr val="bg1">
            <a:lumMod val="95000"/>
          </a:schemeClr>
        </a:solidFill>
        <a:ln w="25400">
          <a:noFill/>
        </a:ln>
      </c:spPr>
    </c:plotArea>
    <c:plotVisOnly val="1"/>
    <c:dispBlanksAs val="zero"/>
    <c:showDLblsOverMax val="0"/>
  </c:chart>
  <c:spPr>
    <a:solidFill>
      <a:srgbClr val="FFFFFF"/>
    </a:solidFill>
    <a:ln w="3175">
      <a:no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Single'!$F$5:$F$105</c:f>
              <c:numCache>
                <c:formatCode>0.000</c:formatCode>
                <c:ptCount val="101"/>
                <c:pt idx="0">
                  <c:v>1.0000000000000001E-9</c:v>
                </c:pt>
                <c:pt idx="1">
                  <c:v>8.0000000000000002E-3</c:v>
                </c:pt>
                <c:pt idx="2">
                  <c:v>1.6E-2</c:v>
                </c:pt>
                <c:pt idx="3">
                  <c:v>2.4E-2</c:v>
                </c:pt>
                <c:pt idx="4">
                  <c:v>3.2000000000000001E-2</c:v>
                </c:pt>
                <c:pt idx="5">
                  <c:v>4.0000000000000008E-2</c:v>
                </c:pt>
                <c:pt idx="6">
                  <c:v>4.8000000000000001E-2</c:v>
                </c:pt>
                <c:pt idx="7">
                  <c:v>5.6000000000000008E-2</c:v>
                </c:pt>
                <c:pt idx="8">
                  <c:v>6.4000000000000001E-2</c:v>
                </c:pt>
                <c:pt idx="9">
                  <c:v>7.1999999999999995E-2</c:v>
                </c:pt>
                <c:pt idx="10">
                  <c:v>8.0000000000000016E-2</c:v>
                </c:pt>
                <c:pt idx="11">
                  <c:v>8.8000000000000009E-2</c:v>
                </c:pt>
                <c:pt idx="12">
                  <c:v>9.6000000000000002E-2</c:v>
                </c:pt>
                <c:pt idx="13">
                  <c:v>0.10400000000000001</c:v>
                </c:pt>
                <c:pt idx="14">
                  <c:v>0.11200000000000002</c:v>
                </c:pt>
                <c:pt idx="15">
                  <c:v>0.12</c:v>
                </c:pt>
                <c:pt idx="16">
                  <c:v>0.128</c:v>
                </c:pt>
                <c:pt idx="17">
                  <c:v>0.13600000000000001</c:v>
                </c:pt>
                <c:pt idx="18">
                  <c:v>0.14399999999999999</c:v>
                </c:pt>
                <c:pt idx="19">
                  <c:v>0.15200000000000002</c:v>
                </c:pt>
                <c:pt idx="20">
                  <c:v>0.16000000000000003</c:v>
                </c:pt>
                <c:pt idx="21">
                  <c:v>0.16800000000000001</c:v>
                </c:pt>
                <c:pt idx="22">
                  <c:v>0.17600000000000002</c:v>
                </c:pt>
                <c:pt idx="23">
                  <c:v>0.18400000000000002</c:v>
                </c:pt>
                <c:pt idx="24">
                  <c:v>0.192</c:v>
                </c:pt>
                <c:pt idx="25">
                  <c:v>0.2</c:v>
                </c:pt>
                <c:pt idx="26">
                  <c:v>0.20800000000000002</c:v>
                </c:pt>
                <c:pt idx="27">
                  <c:v>0.21600000000000003</c:v>
                </c:pt>
                <c:pt idx="28">
                  <c:v>0.22400000000000003</c:v>
                </c:pt>
                <c:pt idx="29">
                  <c:v>0.23199999999999998</c:v>
                </c:pt>
                <c:pt idx="30">
                  <c:v>0.24</c:v>
                </c:pt>
                <c:pt idx="31">
                  <c:v>0.248</c:v>
                </c:pt>
                <c:pt idx="32">
                  <c:v>0.25600000000000001</c:v>
                </c:pt>
                <c:pt idx="33">
                  <c:v>0.26400000000000001</c:v>
                </c:pt>
                <c:pt idx="34">
                  <c:v>0.27200000000000002</c:v>
                </c:pt>
                <c:pt idx="35">
                  <c:v>0.27999999999999997</c:v>
                </c:pt>
                <c:pt idx="36">
                  <c:v>0.28799999999999998</c:v>
                </c:pt>
                <c:pt idx="37">
                  <c:v>0.29599999999999999</c:v>
                </c:pt>
                <c:pt idx="38">
                  <c:v>0.30400000000000005</c:v>
                </c:pt>
                <c:pt idx="39">
                  <c:v>0.31200000000000006</c:v>
                </c:pt>
                <c:pt idx="40">
                  <c:v>0.32000000000000006</c:v>
                </c:pt>
                <c:pt idx="41">
                  <c:v>0.32800000000000001</c:v>
                </c:pt>
                <c:pt idx="42">
                  <c:v>0.33600000000000002</c:v>
                </c:pt>
                <c:pt idx="43">
                  <c:v>0.34400000000000003</c:v>
                </c:pt>
                <c:pt idx="44">
                  <c:v>0.35200000000000004</c:v>
                </c:pt>
                <c:pt idx="45">
                  <c:v>0.36000000000000004</c:v>
                </c:pt>
                <c:pt idx="46">
                  <c:v>0.36800000000000005</c:v>
                </c:pt>
                <c:pt idx="47">
                  <c:v>0.376</c:v>
                </c:pt>
                <c:pt idx="48">
                  <c:v>0.38400000000000001</c:v>
                </c:pt>
                <c:pt idx="49">
                  <c:v>0.39200000000000002</c:v>
                </c:pt>
                <c:pt idx="50">
                  <c:v>0.4</c:v>
                </c:pt>
                <c:pt idx="51">
                  <c:v>0.40800000000000003</c:v>
                </c:pt>
                <c:pt idx="52">
                  <c:v>0.41600000000000004</c:v>
                </c:pt>
                <c:pt idx="53">
                  <c:v>0.42400000000000004</c:v>
                </c:pt>
                <c:pt idx="54">
                  <c:v>0.43200000000000005</c:v>
                </c:pt>
                <c:pt idx="55">
                  <c:v>0.44000000000000006</c:v>
                </c:pt>
                <c:pt idx="56">
                  <c:v>0.44800000000000006</c:v>
                </c:pt>
                <c:pt idx="57">
                  <c:v>0.45599999999999996</c:v>
                </c:pt>
                <c:pt idx="58">
                  <c:v>0.46399999999999997</c:v>
                </c:pt>
                <c:pt idx="59">
                  <c:v>0.47199999999999998</c:v>
                </c:pt>
                <c:pt idx="60">
                  <c:v>0.48</c:v>
                </c:pt>
                <c:pt idx="61">
                  <c:v>0.48799999999999999</c:v>
                </c:pt>
                <c:pt idx="62">
                  <c:v>0.496</c:v>
                </c:pt>
                <c:pt idx="63">
                  <c:v>0.504</c:v>
                </c:pt>
                <c:pt idx="64">
                  <c:v>0.51200000000000001</c:v>
                </c:pt>
                <c:pt idx="65">
                  <c:v>0.52</c:v>
                </c:pt>
                <c:pt idx="66">
                  <c:v>0.52800000000000002</c:v>
                </c:pt>
                <c:pt idx="67">
                  <c:v>0.53600000000000003</c:v>
                </c:pt>
                <c:pt idx="68">
                  <c:v>0.54400000000000004</c:v>
                </c:pt>
                <c:pt idx="69">
                  <c:v>0.55199999999999994</c:v>
                </c:pt>
                <c:pt idx="70">
                  <c:v>0.55999999999999994</c:v>
                </c:pt>
                <c:pt idx="71">
                  <c:v>0.56799999999999995</c:v>
                </c:pt>
                <c:pt idx="72">
                  <c:v>0.57599999999999996</c:v>
                </c:pt>
                <c:pt idx="73">
                  <c:v>0.58399999999999996</c:v>
                </c:pt>
                <c:pt idx="74">
                  <c:v>0.59199999999999997</c:v>
                </c:pt>
                <c:pt idx="75">
                  <c:v>0.60000000000000009</c:v>
                </c:pt>
                <c:pt idx="76">
                  <c:v>0.6080000000000001</c:v>
                </c:pt>
                <c:pt idx="77">
                  <c:v>0.6160000000000001</c:v>
                </c:pt>
                <c:pt idx="78">
                  <c:v>0.62400000000000011</c:v>
                </c:pt>
                <c:pt idx="79">
                  <c:v>0.63200000000000012</c:v>
                </c:pt>
                <c:pt idx="80">
                  <c:v>0.64000000000000012</c:v>
                </c:pt>
                <c:pt idx="81">
                  <c:v>0.64800000000000013</c:v>
                </c:pt>
                <c:pt idx="82">
                  <c:v>0.65600000000000003</c:v>
                </c:pt>
                <c:pt idx="83">
                  <c:v>0.66400000000000003</c:v>
                </c:pt>
                <c:pt idx="84">
                  <c:v>0.67200000000000004</c:v>
                </c:pt>
                <c:pt idx="85">
                  <c:v>0.68</c:v>
                </c:pt>
                <c:pt idx="86">
                  <c:v>0.68800000000000006</c:v>
                </c:pt>
                <c:pt idx="87">
                  <c:v>0.69600000000000006</c:v>
                </c:pt>
                <c:pt idx="88">
                  <c:v>0.70400000000000007</c:v>
                </c:pt>
                <c:pt idx="89">
                  <c:v>0.71200000000000008</c:v>
                </c:pt>
                <c:pt idx="90">
                  <c:v>0.72000000000000008</c:v>
                </c:pt>
                <c:pt idx="91">
                  <c:v>0.72800000000000009</c:v>
                </c:pt>
                <c:pt idx="92">
                  <c:v>0.7360000000000001</c:v>
                </c:pt>
                <c:pt idx="93">
                  <c:v>0.74400000000000011</c:v>
                </c:pt>
                <c:pt idx="94">
                  <c:v>0.752</c:v>
                </c:pt>
                <c:pt idx="95">
                  <c:v>0.76</c:v>
                </c:pt>
                <c:pt idx="96">
                  <c:v>0.76800000000000002</c:v>
                </c:pt>
                <c:pt idx="97">
                  <c:v>0.77600000000000002</c:v>
                </c:pt>
                <c:pt idx="98">
                  <c:v>0.78400000000000003</c:v>
                </c:pt>
                <c:pt idx="99">
                  <c:v>0.79200000000000004</c:v>
                </c:pt>
                <c:pt idx="100">
                  <c:v>0.8</c:v>
                </c:pt>
              </c:numCache>
            </c:numRef>
          </c:cat>
          <c:val>
            <c:numRef>
              <c:f>'Calculations - Single'!$CA$5:$CA$105</c:f>
              <c:numCache>
                <c:formatCode>0.00</c:formatCode>
                <c:ptCount val="101"/>
                <c:pt idx="0">
                  <c:v>7.0730161306269593E-5</c:v>
                </c:pt>
                <c:pt idx="1">
                  <c:v>76.034903191611804</c:v>
                </c:pt>
                <c:pt idx="2">
                  <c:v>80.121759307235919</c:v>
                </c:pt>
                <c:pt idx="3">
                  <c:v>81.58345576117037</c:v>
                </c:pt>
                <c:pt idx="4">
                  <c:v>82.334487877839592</c:v>
                </c:pt>
                <c:pt idx="5">
                  <c:v>82.791781230667212</c:v>
                </c:pt>
                <c:pt idx="6">
                  <c:v>83.09947600905933</c:v>
                </c:pt>
                <c:pt idx="7">
                  <c:v>83.320661979126669</c:v>
                </c:pt>
                <c:pt idx="8">
                  <c:v>83.480361122130645</c:v>
                </c:pt>
                <c:pt idx="9">
                  <c:v>83.87498850897957</c:v>
                </c:pt>
                <c:pt idx="10">
                  <c:v>84.625763318023658</c:v>
                </c:pt>
                <c:pt idx="11">
                  <c:v>85.254585981044997</c:v>
                </c:pt>
                <c:pt idx="12">
                  <c:v>85.789177023984266</c:v>
                </c:pt>
                <c:pt idx="13">
                  <c:v>86.249386149216974</c:v>
                </c:pt>
                <c:pt idx="14">
                  <c:v>86.649812325946584</c:v>
                </c:pt>
                <c:pt idx="15">
                  <c:v>87.00143982535738</c:v>
                </c:pt>
                <c:pt idx="16">
                  <c:v>87.312696755710377</c:v>
                </c:pt>
                <c:pt idx="17">
                  <c:v>87.590161147552507</c:v>
                </c:pt>
                <c:pt idx="18">
                  <c:v>87.839044562771178</c:v>
                </c:pt>
                <c:pt idx="19">
                  <c:v>88.063531089984821</c:v>
                </c:pt>
                <c:pt idx="20">
                  <c:v>88.267019884546897</c:v>
                </c:pt>
                <c:pt idx="21">
                  <c:v>88.45230188884679</c:v>
                </c:pt>
                <c:pt idx="22">
                  <c:v>88.621690714327869</c:v>
                </c:pt>
                <c:pt idx="23">
                  <c:v>88.777121011762134</c:v>
                </c:pt>
                <c:pt idx="24">
                  <c:v>88.920223398095615</c:v>
                </c:pt>
                <c:pt idx="25">
                  <c:v>89.052382223649687</c:v>
                </c:pt>
                <c:pt idx="26">
                  <c:v>89.174780606417897</c:v>
                </c:pt>
                <c:pt idx="27">
                  <c:v>89.288435899316895</c:v>
                </c:pt>
                <c:pt idx="28">
                  <c:v>89.39422788600973</c:v>
                </c:pt>
                <c:pt idx="29">
                  <c:v>89.492921391190265</c:v>
                </c:pt>
                <c:pt idx="30">
                  <c:v>89.585184558058984</c:v>
                </c:pt>
                <c:pt idx="31">
                  <c:v>89.671603734028295</c:v>
                </c:pt>
                <c:pt idx="32">
                  <c:v>89.752695678734142</c:v>
                </c:pt>
                <c:pt idx="33">
                  <c:v>89.82891764132917</c:v>
                </c:pt>
                <c:pt idx="34">
                  <c:v>89.900675729730878</c:v>
                </c:pt>
                <c:pt idx="35">
                  <c:v>89.968331901141639</c:v>
                </c:pt>
                <c:pt idx="36">
                  <c:v>90.032209832405499</c:v>
                </c:pt>
                <c:pt idx="37">
                  <c:v>90.092599874693292</c:v>
                </c:pt>
                <c:pt idx="38">
                  <c:v>90.149763255347921</c:v>
                </c:pt>
                <c:pt idx="39">
                  <c:v>90.203935657387888</c:v>
                </c:pt>
                <c:pt idx="40">
                  <c:v>90.255330281891048</c:v>
                </c:pt>
                <c:pt idx="41">
                  <c:v>90.304140478589403</c:v>
                </c:pt>
                <c:pt idx="42">
                  <c:v>90.350542014254273</c:v>
                </c:pt>
                <c:pt idx="43">
                  <c:v>90.394695035900909</c:v>
                </c:pt>
                <c:pt idx="44">
                  <c:v>90.436745775786136</c:v>
                </c:pt>
                <c:pt idx="45">
                  <c:v>90.476828037070931</c:v>
                </c:pt>
                <c:pt idx="46">
                  <c:v>90.515064492460382</c:v>
                </c:pt>
                <c:pt idx="47">
                  <c:v>90.551567822794382</c:v>
                </c:pt>
                <c:pt idx="48">
                  <c:v>90.586441718197634</c:v>
                </c:pt>
                <c:pt idx="49">
                  <c:v>90.619781760812771</c:v>
                </c:pt>
                <c:pt idx="50">
                  <c:v>90.651676205183591</c:v>
                </c:pt>
                <c:pt idx="51">
                  <c:v>90.682206669906279</c:v>
                </c:pt>
                <c:pt idx="52">
                  <c:v>90.711448752130678</c:v>
                </c:pt>
                <c:pt idx="53">
                  <c:v>90.739472574793666</c:v>
                </c:pt>
                <c:pt idx="54">
                  <c:v>90.766343275043965</c:v>
                </c:pt>
                <c:pt idx="55">
                  <c:v>90.792121441120116</c:v>
                </c:pt>
                <c:pt idx="56">
                  <c:v>90.816863503935252</c:v>
                </c:pt>
                <c:pt idx="57">
                  <c:v>90.840622088767446</c:v>
                </c:pt>
                <c:pt idx="58">
                  <c:v>90.863446331730543</c:v>
                </c:pt>
                <c:pt idx="59">
                  <c:v>90.885382165082902</c:v>
                </c:pt>
                <c:pt idx="60">
                  <c:v>90.906472574905123</c:v>
                </c:pt>
                <c:pt idx="61">
                  <c:v>90.926757834226962</c:v>
                </c:pt>
                <c:pt idx="62">
                  <c:v>90.946275714296249</c:v>
                </c:pt>
                <c:pt idx="63">
                  <c:v>90.965061676350345</c:v>
                </c:pt>
                <c:pt idx="64">
                  <c:v>90.983149045962293</c:v>
                </c:pt>
                <c:pt idx="65">
                  <c:v>91.000569171786054</c:v>
                </c:pt>
                <c:pt idx="66">
                  <c:v>91.017351570309643</c:v>
                </c:pt>
                <c:pt idx="67">
                  <c:v>91.033524058037358</c:v>
                </c:pt>
                <c:pt idx="68">
                  <c:v>91.049112872359814</c:v>
                </c:pt>
                <c:pt idx="69">
                  <c:v>91.064142782228046</c:v>
                </c:pt>
                <c:pt idx="70">
                  <c:v>91.078637189623407</c:v>
                </c:pt>
                <c:pt idx="71">
                  <c:v>91.092618222706463</c:v>
                </c:pt>
                <c:pt idx="72">
                  <c:v>91.10610682143168</c:v>
                </c:pt>
                <c:pt idx="73">
                  <c:v>91.119122816331455</c:v>
                </c:pt>
                <c:pt idx="74">
                  <c:v>91.131685001098205</c:v>
                </c:pt>
                <c:pt idx="75">
                  <c:v>91.143811199527974</c:v>
                </c:pt>
                <c:pt idx="76">
                  <c:v>91.155518327331336</c:v>
                </c:pt>
                <c:pt idx="77">
                  <c:v>91.166822449265908</c:v>
                </c:pt>
                <c:pt idx="78">
                  <c:v>91.17773883199925</c:v>
                </c:pt>
                <c:pt idx="79">
                  <c:v>91.188281993070817</c:v>
                </c:pt>
                <c:pt idx="80">
                  <c:v>91.198465746285279</c:v>
                </c:pt>
                <c:pt idx="81">
                  <c:v>91.208303243837861</c:v>
                </c:pt>
                <c:pt idx="82">
                  <c:v>91.217807015443242</c:v>
                </c:pt>
                <c:pt idx="83">
                  <c:v>91.226989004714724</c:v>
                </c:pt>
                <c:pt idx="84">
                  <c:v>91.270969029103327</c:v>
                </c:pt>
                <c:pt idx="85">
                  <c:v>91.32854481769543</c:v>
                </c:pt>
                <c:pt idx="86">
                  <c:v>91.334527894721589</c:v>
                </c:pt>
                <c:pt idx="87">
                  <c:v>91.337812242581521</c:v>
                </c:pt>
                <c:pt idx="88">
                  <c:v>91.340245962532791</c:v>
                </c:pt>
                <c:pt idx="89">
                  <c:v>91.341863406614237</c:v>
                </c:pt>
                <c:pt idx="90">
                  <c:v>91.342697188737247</c:v>
                </c:pt>
                <c:pt idx="91">
                  <c:v>91.342778290758758</c:v>
                </c:pt>
                <c:pt idx="92">
                  <c:v>91.342136161014267</c:v>
                </c:pt>
                <c:pt idx="93">
                  <c:v>91.340798805920002</c:v>
                </c:pt>
                <c:pt idx="94">
                  <c:v>91.338792875198735</c:v>
                </c:pt>
                <c:pt idx="95">
                  <c:v>91.336143741233897</c:v>
                </c:pt>
                <c:pt idx="96">
                  <c:v>91.332875573011933</c:v>
                </c:pt>
                <c:pt idx="97">
                  <c:v>91.329011405073274</c:v>
                </c:pt>
                <c:pt idx="98">
                  <c:v>91.32457320185479</c:v>
                </c:pt>
                <c:pt idx="99">
                  <c:v>91.319581917774713</c:v>
                </c:pt>
                <c:pt idx="100">
                  <c:v>91.314057553380394</c:v>
                </c:pt>
              </c:numCache>
            </c:numRef>
          </c:val>
          <c:smooth val="0"/>
        </c:ser>
        <c:dLbls>
          <c:showLegendKey val="0"/>
          <c:showVal val="0"/>
          <c:showCatName val="0"/>
          <c:showSerName val="0"/>
          <c:showPercent val="0"/>
          <c:showBubbleSize val="0"/>
        </c:dLbls>
        <c:marker val="1"/>
        <c:smooth val="0"/>
        <c:axId val="151400448"/>
        <c:axId val="151402368"/>
      </c:lineChart>
      <c:lineChart>
        <c:grouping val="standard"/>
        <c:varyColors val="0"/>
        <c:ser>
          <c:idx val="2"/>
          <c:order val="1"/>
          <c:tx>
            <c:strRef>
              <c:f>'Calculations - Single'!$BO$3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Single'!$BR$5:$BR$105</c:f>
              <c:numCache>
                <c:formatCode>0.0</c:formatCode>
                <c:ptCount val="101"/>
                <c:pt idx="0">
                  <c:v>4.0000000000000009E-7</c:v>
                </c:pt>
                <c:pt idx="1">
                  <c:v>3.2</c:v>
                </c:pt>
                <c:pt idx="2">
                  <c:v>6.4</c:v>
                </c:pt>
                <c:pt idx="3">
                  <c:v>9.6000000000000014</c:v>
                </c:pt>
                <c:pt idx="4">
                  <c:v>12.8</c:v>
                </c:pt>
                <c:pt idx="5">
                  <c:v>16.000000000000004</c:v>
                </c:pt>
                <c:pt idx="6">
                  <c:v>19.200000000000003</c:v>
                </c:pt>
                <c:pt idx="7">
                  <c:v>22.400000000000002</c:v>
                </c:pt>
                <c:pt idx="8">
                  <c:v>25.6</c:v>
                </c:pt>
                <c:pt idx="9">
                  <c:v>28.8</c:v>
                </c:pt>
                <c:pt idx="10">
                  <c:v>32.000000000000007</c:v>
                </c:pt>
                <c:pt idx="11">
                  <c:v>35.200000000000003</c:v>
                </c:pt>
                <c:pt idx="12">
                  <c:v>38.400000000000006</c:v>
                </c:pt>
                <c:pt idx="13">
                  <c:v>41.600000000000009</c:v>
                </c:pt>
                <c:pt idx="14">
                  <c:v>44.800000000000004</c:v>
                </c:pt>
                <c:pt idx="15">
                  <c:v>48</c:v>
                </c:pt>
                <c:pt idx="16">
                  <c:v>51.2</c:v>
                </c:pt>
                <c:pt idx="17">
                  <c:v>54.400000000000006</c:v>
                </c:pt>
                <c:pt idx="18">
                  <c:v>57.6</c:v>
                </c:pt>
                <c:pt idx="19">
                  <c:v>60.800000000000011</c:v>
                </c:pt>
                <c:pt idx="20">
                  <c:v>64.000000000000014</c:v>
                </c:pt>
                <c:pt idx="21">
                  <c:v>67.2</c:v>
                </c:pt>
                <c:pt idx="22">
                  <c:v>70.400000000000006</c:v>
                </c:pt>
                <c:pt idx="23">
                  <c:v>73.600000000000009</c:v>
                </c:pt>
                <c:pt idx="24">
                  <c:v>76.800000000000011</c:v>
                </c:pt>
                <c:pt idx="25">
                  <c:v>80.000000000000014</c:v>
                </c:pt>
                <c:pt idx="26">
                  <c:v>83.200000000000017</c:v>
                </c:pt>
                <c:pt idx="27">
                  <c:v>86.40000000000002</c:v>
                </c:pt>
                <c:pt idx="28">
                  <c:v>89.600000000000009</c:v>
                </c:pt>
                <c:pt idx="29">
                  <c:v>92.8</c:v>
                </c:pt>
                <c:pt idx="30">
                  <c:v>96</c:v>
                </c:pt>
                <c:pt idx="31">
                  <c:v>99.200000000000017</c:v>
                </c:pt>
                <c:pt idx="32">
                  <c:v>102.4</c:v>
                </c:pt>
                <c:pt idx="33">
                  <c:v>105.60000000000001</c:v>
                </c:pt>
                <c:pt idx="34">
                  <c:v>108.80000000000001</c:v>
                </c:pt>
                <c:pt idx="35">
                  <c:v>111.99999999999999</c:v>
                </c:pt>
                <c:pt idx="36">
                  <c:v>115.2</c:v>
                </c:pt>
                <c:pt idx="37">
                  <c:v>118.4</c:v>
                </c:pt>
                <c:pt idx="38">
                  <c:v>121.60000000000002</c:v>
                </c:pt>
                <c:pt idx="39">
                  <c:v>124.80000000000003</c:v>
                </c:pt>
                <c:pt idx="40">
                  <c:v>128.00000000000003</c:v>
                </c:pt>
                <c:pt idx="41">
                  <c:v>131.20000000000002</c:v>
                </c:pt>
                <c:pt idx="42">
                  <c:v>134.4</c:v>
                </c:pt>
                <c:pt idx="43">
                  <c:v>137.60000000000002</c:v>
                </c:pt>
                <c:pt idx="44">
                  <c:v>140.80000000000001</c:v>
                </c:pt>
                <c:pt idx="45">
                  <c:v>144.00000000000003</c:v>
                </c:pt>
                <c:pt idx="46">
                  <c:v>147.20000000000002</c:v>
                </c:pt>
                <c:pt idx="47">
                  <c:v>150.4</c:v>
                </c:pt>
                <c:pt idx="48">
                  <c:v>153.60000000000002</c:v>
                </c:pt>
                <c:pt idx="49">
                  <c:v>156.80000000000001</c:v>
                </c:pt>
                <c:pt idx="50">
                  <c:v>160.00000000000003</c:v>
                </c:pt>
                <c:pt idx="51">
                  <c:v>163.20000000000002</c:v>
                </c:pt>
                <c:pt idx="52">
                  <c:v>166.40000000000003</c:v>
                </c:pt>
                <c:pt idx="53">
                  <c:v>169.60000000000002</c:v>
                </c:pt>
                <c:pt idx="54">
                  <c:v>172.80000000000004</c:v>
                </c:pt>
                <c:pt idx="55">
                  <c:v>176.00000000000006</c:v>
                </c:pt>
                <c:pt idx="56">
                  <c:v>179.20000000000002</c:v>
                </c:pt>
                <c:pt idx="57">
                  <c:v>182.4</c:v>
                </c:pt>
                <c:pt idx="58">
                  <c:v>185.6</c:v>
                </c:pt>
                <c:pt idx="59">
                  <c:v>188.79999999999998</c:v>
                </c:pt>
                <c:pt idx="60">
                  <c:v>192</c:v>
                </c:pt>
                <c:pt idx="61">
                  <c:v>195.20000000000002</c:v>
                </c:pt>
                <c:pt idx="62">
                  <c:v>198.40000000000003</c:v>
                </c:pt>
                <c:pt idx="63">
                  <c:v>201.6</c:v>
                </c:pt>
                <c:pt idx="64">
                  <c:v>204.8</c:v>
                </c:pt>
                <c:pt idx="65">
                  <c:v>208.00000000000003</c:v>
                </c:pt>
                <c:pt idx="66">
                  <c:v>211.20000000000002</c:v>
                </c:pt>
                <c:pt idx="67">
                  <c:v>214.40000000000003</c:v>
                </c:pt>
                <c:pt idx="68">
                  <c:v>217.60000000000002</c:v>
                </c:pt>
                <c:pt idx="69">
                  <c:v>220.79999999999998</c:v>
                </c:pt>
                <c:pt idx="70">
                  <c:v>223.99999999999997</c:v>
                </c:pt>
                <c:pt idx="71">
                  <c:v>227.2</c:v>
                </c:pt>
                <c:pt idx="72">
                  <c:v>230.4</c:v>
                </c:pt>
                <c:pt idx="73">
                  <c:v>233.6</c:v>
                </c:pt>
                <c:pt idx="74">
                  <c:v>236.8</c:v>
                </c:pt>
                <c:pt idx="75">
                  <c:v>240.00000000000006</c:v>
                </c:pt>
                <c:pt idx="76">
                  <c:v>243.20000000000005</c:v>
                </c:pt>
                <c:pt idx="77">
                  <c:v>246.40000000000006</c:v>
                </c:pt>
                <c:pt idx="78">
                  <c:v>249.60000000000005</c:v>
                </c:pt>
                <c:pt idx="79">
                  <c:v>252.80000000000007</c:v>
                </c:pt>
                <c:pt idx="80">
                  <c:v>256.00000000000006</c:v>
                </c:pt>
                <c:pt idx="81">
                  <c:v>259.20000000000005</c:v>
                </c:pt>
                <c:pt idx="82">
                  <c:v>262.40000000000003</c:v>
                </c:pt>
                <c:pt idx="83">
                  <c:v>265.60000000000002</c:v>
                </c:pt>
                <c:pt idx="84">
                  <c:v>268.8</c:v>
                </c:pt>
                <c:pt idx="85">
                  <c:v>272</c:v>
                </c:pt>
                <c:pt idx="86">
                  <c:v>275.20000000000005</c:v>
                </c:pt>
                <c:pt idx="87">
                  <c:v>278.40000000000003</c:v>
                </c:pt>
                <c:pt idx="88">
                  <c:v>281.60000000000002</c:v>
                </c:pt>
                <c:pt idx="89">
                  <c:v>284.80000000000007</c:v>
                </c:pt>
                <c:pt idx="90">
                  <c:v>288.00000000000006</c:v>
                </c:pt>
                <c:pt idx="91">
                  <c:v>291.20000000000005</c:v>
                </c:pt>
                <c:pt idx="92">
                  <c:v>294.40000000000003</c:v>
                </c:pt>
                <c:pt idx="93">
                  <c:v>297.60000000000002</c:v>
                </c:pt>
                <c:pt idx="94">
                  <c:v>300.8</c:v>
                </c:pt>
                <c:pt idx="95">
                  <c:v>304.00000000000006</c:v>
                </c:pt>
                <c:pt idx="96">
                  <c:v>307.20000000000005</c:v>
                </c:pt>
                <c:pt idx="97">
                  <c:v>310.40000000000003</c:v>
                </c:pt>
                <c:pt idx="98">
                  <c:v>313.60000000000002</c:v>
                </c:pt>
                <c:pt idx="99">
                  <c:v>316.8</c:v>
                </c:pt>
                <c:pt idx="100">
                  <c:v>320.00000000000006</c:v>
                </c:pt>
              </c:numCache>
            </c:numRef>
          </c:val>
          <c:smooth val="0"/>
        </c:ser>
        <c:ser>
          <c:idx val="3"/>
          <c:order val="2"/>
          <c:tx>
            <c:strRef>
              <c:f>'Calculations - Single'!$BI$3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Single'!$BN$5:$BN$105</c:f>
              <c:numCache>
                <c:formatCode>0.0</c:formatCode>
                <c:ptCount val="101"/>
                <c:pt idx="0">
                  <c:v>7.6979623381481481</c:v>
                </c:pt>
                <c:pt idx="1">
                  <c:v>17.042471924963831</c:v>
                </c:pt>
                <c:pt idx="2">
                  <c:v>30.169943849927662</c:v>
                </c:pt>
                <c:pt idx="3">
                  <c:v>43.297415774891505</c:v>
                </c:pt>
                <c:pt idx="4">
                  <c:v>56.424887699855326</c:v>
                </c:pt>
                <c:pt idx="5">
                  <c:v>69.552359624819161</c:v>
                </c:pt>
                <c:pt idx="6">
                  <c:v>82.679831549783003</c:v>
                </c:pt>
                <c:pt idx="7">
                  <c:v>95.807303474746831</c:v>
                </c:pt>
                <c:pt idx="8">
                  <c:v>108.97835482637765</c:v>
                </c:pt>
                <c:pt idx="9">
                  <c:v>117.25183145475063</c:v>
                </c:pt>
                <c:pt idx="10">
                  <c:v>120.12560946826096</c:v>
                </c:pt>
                <c:pt idx="11">
                  <c:v>122.93427330739581</c:v>
                </c:pt>
                <c:pt idx="12">
                  <c:v>125.68988728267918</c:v>
                </c:pt>
                <c:pt idx="13">
                  <c:v>128.40190768121627</c:v>
                </c:pt>
                <c:pt idx="14">
                  <c:v>131.07788997037736</c:v>
                </c:pt>
                <c:pt idx="15">
                  <c:v>133.72396898023393</c:v>
                </c:pt>
                <c:pt idx="16">
                  <c:v>136.34519494212861</c:v>
                </c:pt>
                <c:pt idx="17">
                  <c:v>138.94577477846377</c:v>
                </c:pt>
                <c:pt idx="18">
                  <c:v>141.52924924068171</c:v>
                </c:pt>
                <c:pt idx="19">
                  <c:v>144.09862548535835</c:v>
                </c:pt>
                <c:pt idx="20">
                  <c:v>146.65647799595837</c:v>
                </c:pt>
                <c:pt idx="21">
                  <c:v>149.20502657130339</c:v>
                </c:pt>
                <c:pt idx="22">
                  <c:v>151.74619740549389</c:v>
                </c:pt>
                <c:pt idx="23">
                  <c:v>154.28167150446114</c:v>
                </c:pt>
                <c:pt idx="24">
                  <c:v>156.81292348387638</c:v>
                </c:pt>
                <c:pt idx="25">
                  <c:v>159.34125296733032</c:v>
                </c:pt>
                <c:pt idx="26">
                  <c:v>161.86781022544727</c:v>
                </c:pt>
                <c:pt idx="27">
                  <c:v>164.39361728514189</c:v>
                </c:pt>
                <c:pt idx="28">
                  <c:v>166.91958544112705</c:v>
                </c:pt>
                <c:pt idx="29">
                  <c:v>169.44652988435976</c:v>
                </c:pt>
                <c:pt idx="30">
                  <c:v>171.97518200102076</c:v>
                </c:pt>
                <c:pt idx="31">
                  <c:v>174.50619977490629</c:v>
                </c:pt>
                <c:pt idx="32">
                  <c:v>177.04017663468514</c:v>
                </c:pt>
                <c:pt idx="33">
                  <c:v>179.57764901755934</c:v>
                </c:pt>
                <c:pt idx="34">
                  <c:v>182.11910286690576</c:v>
                </c:pt>
                <c:pt idx="35">
                  <c:v>184.66497923947966</c:v>
                </c:pt>
                <c:pt idx="36">
                  <c:v>187.21567916481175</c:v>
                </c:pt>
                <c:pt idx="37">
                  <c:v>189.77156787338672</c:v>
                </c:pt>
                <c:pt idx="38">
                  <c:v>192.33297848946387</c:v>
                </c:pt>
                <c:pt idx="39">
                  <c:v>194.90021526779086</c:v>
                </c:pt>
                <c:pt idx="40">
                  <c:v>197.47355644007516</c:v>
                </c:pt>
                <c:pt idx="41">
                  <c:v>200.05325672621785</c:v>
                </c:pt>
                <c:pt idx="42">
                  <c:v>202.63954955646338</c:v>
                </c:pt>
                <c:pt idx="43">
                  <c:v>205.23264904336051</c:v>
                </c:pt>
                <c:pt idx="44">
                  <c:v>207.83275173645171</c:v>
                </c:pt>
                <c:pt idx="45">
                  <c:v>210.44003818765972</c:v>
                </c:pt>
                <c:pt idx="46">
                  <c:v>213.05467435122574</c:v>
                </c:pt>
                <c:pt idx="47">
                  <c:v>215.67681283861845</c:v>
                </c:pt>
                <c:pt idx="48">
                  <c:v>218.30659404595227</c:v>
                </c:pt>
                <c:pt idx="49">
                  <c:v>220.94414716902887</c:v>
                </c:pt>
                <c:pt idx="50">
                  <c:v>223.58959111906807</c:v>
                </c:pt>
                <c:pt idx="51">
                  <c:v>226.24303535045757</c:v>
                </c:pt>
                <c:pt idx="52">
                  <c:v>228.90458061037236</c:v>
                </c:pt>
                <c:pt idx="53">
                  <c:v>231.57431961885578</c:v>
                </c:pt>
                <c:pt idx="54">
                  <c:v>234.2523376868719</c:v>
                </c:pt>
                <c:pt idx="55">
                  <c:v>236.93871327891384</c:v>
                </c:pt>
                <c:pt idx="56">
                  <c:v>239.63351852595198</c:v>
                </c:pt>
                <c:pt idx="57">
                  <c:v>242.33681969381806</c:v>
                </c:pt>
                <c:pt idx="58">
                  <c:v>245.04867761152212</c:v>
                </c:pt>
                <c:pt idx="59">
                  <c:v>247.76914806348177</c:v>
                </c:pt>
                <c:pt idx="60">
                  <c:v>250.49828214919086</c:v>
                </c:pt>
                <c:pt idx="61">
                  <c:v>253.23612661346235</c:v>
                </c:pt>
                <c:pt idx="62">
                  <c:v>255.98272415003288</c:v>
                </c:pt>
                <c:pt idx="63">
                  <c:v>258.73811368101752</c:v>
                </c:pt>
                <c:pt idx="64">
                  <c:v>261.5023306144376</c:v>
                </c:pt>
                <c:pt idx="65">
                  <c:v>264.27540708180766</c:v>
                </c:pt>
                <c:pt idx="66">
                  <c:v>267.05737215756818</c:v>
                </c:pt>
                <c:pt idx="67">
                  <c:v>269.84825206196149</c:v>
                </c:pt>
                <c:pt idx="68">
                  <c:v>272.64807034879368</c:v>
                </c:pt>
                <c:pt idx="69">
                  <c:v>275.45684807937829</c:v>
                </c:pt>
                <c:pt idx="70">
                  <c:v>278.27460398383175</c:v>
                </c:pt>
                <c:pt idx="71">
                  <c:v>281.10135461077914</c:v>
                </c:pt>
                <c:pt idx="72">
                  <c:v>283.93711446642556</c:v>
                </c:pt>
                <c:pt idx="73">
                  <c:v>286.78189614386105</c:v>
                </c:pt>
                <c:pt idx="74">
                  <c:v>289.63571044338443</c:v>
                </c:pt>
                <c:pt idx="75">
                  <c:v>292.4985664845596</c:v>
                </c:pt>
                <c:pt idx="76">
                  <c:v>295.37047181065623</c:v>
                </c:pt>
                <c:pt idx="77">
                  <c:v>298.25143248606355</c:v>
                </c:pt>
                <c:pt idx="78">
                  <c:v>301.14145318721938</c:v>
                </c:pt>
                <c:pt idx="79">
                  <c:v>304.04053728754332</c:v>
                </c:pt>
                <c:pt idx="80">
                  <c:v>306.9486869368277</c:v>
                </c:pt>
                <c:pt idx="81">
                  <c:v>309.86590313549391</c:v>
                </c:pt>
                <c:pt idx="82">
                  <c:v>312.79218580409446</c:v>
                </c:pt>
                <c:pt idx="83">
                  <c:v>315.72753384840354</c:v>
                </c:pt>
                <c:pt idx="84">
                  <c:v>316.04648281930503</c:v>
                </c:pt>
                <c:pt idx="85">
                  <c:v>315.26872697755465</c:v>
                </c:pt>
                <c:pt idx="86">
                  <c:v>317.32754211004755</c:v>
                </c:pt>
                <c:pt idx="87">
                  <c:v>319.5398239008573</c:v>
                </c:pt>
                <c:pt idx="88">
                  <c:v>321.80429452612987</c:v>
                </c:pt>
                <c:pt idx="89">
                  <c:v>324.12035937075746</c:v>
                </c:pt>
                <c:pt idx="90">
                  <c:v>326.48745024697024</c:v>
                </c:pt>
                <c:pt idx="91">
                  <c:v>328.90502394228525</c:v>
                </c:pt>
                <c:pt idx="92">
                  <c:v>331.37256086215314</c:v>
                </c:pt>
                <c:pt idx="93">
                  <c:v>333.88956376017745</c:v>
                </c:pt>
                <c:pt idx="94">
                  <c:v>336.45555654938283</c:v>
                </c:pt>
                <c:pt idx="95">
                  <c:v>339.07008318856128</c:v>
                </c:pt>
                <c:pt idx="96">
                  <c:v>341.73270663822206</c:v>
                </c:pt>
                <c:pt idx="97">
                  <c:v>344.44300788112099</c:v>
                </c:pt>
                <c:pt idx="98">
                  <c:v>347.20058500275883</c:v>
                </c:pt>
                <c:pt idx="99">
                  <c:v>350.00505232760599</c:v>
                </c:pt>
                <c:pt idx="100">
                  <c:v>352.85603960715412</c:v>
                </c:pt>
              </c:numCache>
            </c:numRef>
          </c:val>
          <c:smooth val="0"/>
        </c:ser>
        <c:ser>
          <c:idx val="1"/>
          <c:order val="3"/>
          <c:tx>
            <c:strRef>
              <c:f>'Calculations - Single'!$BS$3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Single'!$BW$5:$BW$105</c:f>
              <c:numCache>
                <c:formatCode>0.0</c:formatCode>
                <c:ptCount val="101"/>
                <c:pt idx="0">
                  <c:v>9.2679133333333308</c:v>
                </c:pt>
                <c:pt idx="1">
                  <c:v>10.015333333333331</c:v>
                </c:pt>
                <c:pt idx="2">
                  <c:v>11.06533333333333</c:v>
                </c:pt>
                <c:pt idx="3">
                  <c:v>12.115333333333336</c:v>
                </c:pt>
                <c:pt idx="4">
                  <c:v>13.165333333333336</c:v>
                </c:pt>
                <c:pt idx="5">
                  <c:v>14.215333333333332</c:v>
                </c:pt>
                <c:pt idx="6">
                  <c:v>15.265333333333336</c:v>
                </c:pt>
                <c:pt idx="7">
                  <c:v>16.315333333333335</c:v>
                </c:pt>
                <c:pt idx="8">
                  <c:v>17.398499222476183</c:v>
                </c:pt>
                <c:pt idx="9">
                  <c:v>20.05263157894737</c:v>
                </c:pt>
                <c:pt idx="10">
                  <c:v>22.280701754385976</c:v>
                </c:pt>
                <c:pt idx="11">
                  <c:v>24.508771929824562</c:v>
                </c:pt>
                <c:pt idx="12">
                  <c:v>26.736842105263165</c:v>
                </c:pt>
                <c:pt idx="13">
                  <c:v>28.964912280701771</c:v>
                </c:pt>
                <c:pt idx="14">
                  <c:v>31.192982456140356</c:v>
                </c:pt>
                <c:pt idx="15">
                  <c:v>33.421052631578952</c:v>
                </c:pt>
                <c:pt idx="16">
                  <c:v>35.649122807017555</c:v>
                </c:pt>
                <c:pt idx="17">
                  <c:v>37.877192982456144</c:v>
                </c:pt>
                <c:pt idx="18">
                  <c:v>40.10526315789474</c:v>
                </c:pt>
                <c:pt idx="19">
                  <c:v>42.33333333333335</c:v>
                </c:pt>
                <c:pt idx="20">
                  <c:v>44.561403508771953</c:v>
                </c:pt>
                <c:pt idx="21">
                  <c:v>46.789473684210549</c:v>
                </c:pt>
                <c:pt idx="22">
                  <c:v>49.017543859649138</c:v>
                </c:pt>
                <c:pt idx="23">
                  <c:v>51.24561403508774</c:v>
                </c:pt>
                <c:pt idx="24">
                  <c:v>53.473684210526329</c:v>
                </c:pt>
                <c:pt idx="25">
                  <c:v>55.701754385964918</c:v>
                </c:pt>
                <c:pt idx="26">
                  <c:v>57.929824561403521</c:v>
                </c:pt>
                <c:pt idx="27">
                  <c:v>60.157894736842117</c:v>
                </c:pt>
                <c:pt idx="28">
                  <c:v>62.385964912280727</c:v>
                </c:pt>
                <c:pt idx="29">
                  <c:v>64.614035087719301</c:v>
                </c:pt>
                <c:pt idx="30">
                  <c:v>66.842105263157919</c:v>
                </c:pt>
                <c:pt idx="31">
                  <c:v>69.070175438596507</c:v>
                </c:pt>
                <c:pt idx="32">
                  <c:v>71.29824561403511</c:v>
                </c:pt>
                <c:pt idx="33">
                  <c:v>73.526315789473699</c:v>
                </c:pt>
                <c:pt idx="34">
                  <c:v>75.754385964912288</c:v>
                </c:pt>
                <c:pt idx="35">
                  <c:v>77.982456140350877</c:v>
                </c:pt>
                <c:pt idx="36">
                  <c:v>80.21052631578948</c:v>
                </c:pt>
                <c:pt idx="37">
                  <c:v>82.438596491228083</c:v>
                </c:pt>
                <c:pt idx="38">
                  <c:v>84.666666666666728</c:v>
                </c:pt>
                <c:pt idx="39">
                  <c:v>86.894736842105289</c:v>
                </c:pt>
                <c:pt idx="40">
                  <c:v>89.122807017543892</c:v>
                </c:pt>
                <c:pt idx="41">
                  <c:v>91.350877192982495</c:v>
                </c:pt>
                <c:pt idx="42">
                  <c:v>93.578947368421083</c:v>
                </c:pt>
                <c:pt idx="43">
                  <c:v>95.807017543859658</c:v>
                </c:pt>
                <c:pt idx="44">
                  <c:v>98.035087719298261</c:v>
                </c:pt>
                <c:pt idx="45">
                  <c:v>100.26315789473689</c:v>
                </c:pt>
                <c:pt idx="46">
                  <c:v>102.49122807017547</c:v>
                </c:pt>
                <c:pt idx="47">
                  <c:v>104.71929824561407</c:v>
                </c:pt>
                <c:pt idx="48">
                  <c:v>106.94736842105264</c:v>
                </c:pt>
                <c:pt idx="49">
                  <c:v>109.17543859649123</c:v>
                </c:pt>
                <c:pt idx="50">
                  <c:v>111.40350877192984</c:v>
                </c:pt>
                <c:pt idx="51">
                  <c:v>113.63157894736847</c:v>
                </c:pt>
                <c:pt idx="52">
                  <c:v>115.85964912280708</c:v>
                </c:pt>
                <c:pt idx="53">
                  <c:v>118.08771929824569</c:v>
                </c:pt>
                <c:pt idx="54">
                  <c:v>120.31578947368423</c:v>
                </c:pt>
                <c:pt idx="55">
                  <c:v>122.54385964912285</c:v>
                </c:pt>
                <c:pt idx="56">
                  <c:v>124.77192982456143</c:v>
                </c:pt>
                <c:pt idx="57">
                  <c:v>127</c:v>
                </c:pt>
                <c:pt idx="58">
                  <c:v>129.2280701754386</c:v>
                </c:pt>
                <c:pt idx="59">
                  <c:v>131.45614035087723</c:v>
                </c:pt>
                <c:pt idx="60">
                  <c:v>133.68421052631584</c:v>
                </c:pt>
                <c:pt idx="61">
                  <c:v>135.91228070175441</c:v>
                </c:pt>
                <c:pt idx="62">
                  <c:v>138.14035087719301</c:v>
                </c:pt>
                <c:pt idx="63">
                  <c:v>140.36842105263159</c:v>
                </c:pt>
                <c:pt idx="64">
                  <c:v>142.59649122807022</c:v>
                </c:pt>
                <c:pt idx="65">
                  <c:v>144.8245614035088</c:v>
                </c:pt>
                <c:pt idx="66">
                  <c:v>147.0526315789474</c:v>
                </c:pt>
                <c:pt idx="67">
                  <c:v>149.280701754386</c:v>
                </c:pt>
                <c:pt idx="68">
                  <c:v>151.5087719298246</c:v>
                </c:pt>
                <c:pt idx="69">
                  <c:v>153.73684210526315</c:v>
                </c:pt>
                <c:pt idx="70">
                  <c:v>155.96491228070175</c:v>
                </c:pt>
                <c:pt idx="71">
                  <c:v>158.19298245614041</c:v>
                </c:pt>
                <c:pt idx="72">
                  <c:v>160.42105263157896</c:v>
                </c:pt>
                <c:pt idx="73">
                  <c:v>162.64912280701759</c:v>
                </c:pt>
                <c:pt idx="74">
                  <c:v>164.87719298245617</c:v>
                </c:pt>
                <c:pt idx="75">
                  <c:v>167.10526315789477</c:v>
                </c:pt>
                <c:pt idx="76">
                  <c:v>169.33333333333343</c:v>
                </c:pt>
                <c:pt idx="77">
                  <c:v>171.56140350877197</c:v>
                </c:pt>
                <c:pt idx="78">
                  <c:v>173.78947368421061</c:v>
                </c:pt>
                <c:pt idx="79">
                  <c:v>176.01754385964918</c:v>
                </c:pt>
                <c:pt idx="80">
                  <c:v>178.24561403508781</c:v>
                </c:pt>
                <c:pt idx="81">
                  <c:v>180.47368421052639</c:v>
                </c:pt>
                <c:pt idx="82">
                  <c:v>182.70175438596499</c:v>
                </c:pt>
                <c:pt idx="83">
                  <c:v>184.92982456140354</c:v>
                </c:pt>
                <c:pt idx="84">
                  <c:v>186.38347669679678</c:v>
                </c:pt>
                <c:pt idx="85">
                  <c:v>187.50628371434058</c:v>
                </c:pt>
                <c:pt idx="86">
                  <c:v>190.77029004870471</c:v>
                </c:pt>
                <c:pt idx="87">
                  <c:v>194.1373057529166</c:v>
                </c:pt>
                <c:pt idx="88">
                  <c:v>197.53072965293526</c:v>
                </c:pt>
                <c:pt idx="89">
                  <c:v>200.95056174876086</c:v>
                </c:pt>
                <c:pt idx="90">
                  <c:v>204.39680204039331</c:v>
                </c:pt>
                <c:pt idx="91">
                  <c:v>207.86945052783267</c:v>
                </c:pt>
                <c:pt idx="92">
                  <c:v>211.36850721107885</c:v>
                </c:pt>
                <c:pt idx="93">
                  <c:v>214.893972090132</c:v>
                </c:pt>
                <c:pt idx="94">
                  <c:v>218.44584516499188</c:v>
                </c:pt>
                <c:pt idx="95">
                  <c:v>222.02412643565873</c:v>
                </c:pt>
                <c:pt idx="96">
                  <c:v>225.6288159021324</c:v>
                </c:pt>
                <c:pt idx="97">
                  <c:v>229.25991356441298</c:v>
                </c:pt>
                <c:pt idx="98">
                  <c:v>232.91741942250044</c:v>
                </c:pt>
                <c:pt idx="99">
                  <c:v>236.60133347639473</c:v>
                </c:pt>
                <c:pt idx="100">
                  <c:v>240.31165572609598</c:v>
                </c:pt>
              </c:numCache>
            </c:numRef>
          </c:val>
          <c:smooth val="0"/>
        </c:ser>
        <c:dLbls>
          <c:showLegendKey val="0"/>
          <c:showVal val="0"/>
          <c:showCatName val="0"/>
          <c:showSerName val="0"/>
          <c:showPercent val="0"/>
          <c:showBubbleSize val="0"/>
        </c:dLbls>
        <c:marker val="1"/>
        <c:smooth val="0"/>
        <c:axId val="151422848"/>
        <c:axId val="151420928"/>
      </c:lineChart>
      <c:catAx>
        <c:axId val="151400448"/>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Load Current (A)</a:t>
                </a:r>
              </a:p>
            </c:rich>
          </c:tx>
          <c:layout>
            <c:manualLayout>
              <c:xMode val="edge"/>
              <c:yMode val="edge"/>
              <c:x val="0.41550199871424914"/>
              <c:y val="0.93853773960073172"/>
            </c:manualLayout>
          </c:layout>
          <c:overlay val="0"/>
          <c:spPr>
            <a:noFill/>
            <a:ln w="25400">
              <a:noFill/>
            </a:ln>
          </c:spPr>
        </c:title>
        <c:numFmt formatCode="#,##0.0"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51402368"/>
        <c:crosses val="autoZero"/>
        <c:auto val="1"/>
        <c:lblAlgn val="ctr"/>
        <c:lblOffset val="100"/>
        <c:tickLblSkip val="20"/>
        <c:tickMarkSkip val="20"/>
        <c:noMultiLvlLbl val="0"/>
      </c:catAx>
      <c:valAx>
        <c:axId val="151402368"/>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51400448"/>
        <c:crossesAt val="0"/>
        <c:crossBetween val="between"/>
        <c:majorUnit val="5"/>
        <c:minorUnit val="2.5"/>
      </c:valAx>
      <c:valAx>
        <c:axId val="151420928"/>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51422848"/>
        <c:crosses val="max"/>
        <c:crossBetween val="between"/>
      </c:valAx>
      <c:catAx>
        <c:axId val="151422848"/>
        <c:scaling>
          <c:orientation val="minMax"/>
        </c:scaling>
        <c:delete val="1"/>
        <c:axPos val="b"/>
        <c:numFmt formatCode="General" sourceLinked="1"/>
        <c:majorTickMark val="out"/>
        <c:minorTickMark val="none"/>
        <c:tickLblPos val="nextTo"/>
        <c:crossAx val="151420928"/>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4467583520385743"/>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Dual'!$CB$5:$CB$105</c:f>
              <c:numCache>
                <c:formatCode>0.00</c:formatCode>
                <c:ptCount val="101"/>
                <c:pt idx="0">
                  <c:v>1.2698163106390992E-4</c:v>
                </c:pt>
                <c:pt idx="1">
                  <c:v>81.744784521518667</c:v>
                </c:pt>
                <c:pt idx="2">
                  <c:v>85.206597087666509</c:v>
                </c:pt>
                <c:pt idx="3">
                  <c:v>86.426625082982667</c:v>
                </c:pt>
                <c:pt idx="4">
                  <c:v>87.049835254661488</c:v>
                </c:pt>
                <c:pt idx="5">
                  <c:v>87.428094229104317</c:v>
                </c:pt>
                <c:pt idx="6">
                  <c:v>87.299775596795911</c:v>
                </c:pt>
                <c:pt idx="7">
                  <c:v>87.005666703106883</c:v>
                </c:pt>
                <c:pt idx="8">
                  <c:v>86.710431334729449</c:v>
                </c:pt>
                <c:pt idx="9">
                  <c:v>86.94734763457231</c:v>
                </c:pt>
                <c:pt idx="10">
                  <c:v>87.458860337197535</c:v>
                </c:pt>
                <c:pt idx="11">
                  <c:v>87.884722891207375</c:v>
                </c:pt>
                <c:pt idx="12">
                  <c:v>88.244842170753458</c:v>
                </c:pt>
                <c:pt idx="13">
                  <c:v>88.553356410786421</c:v>
                </c:pt>
                <c:pt idx="14">
                  <c:v>88.820592333363876</c:v>
                </c:pt>
                <c:pt idx="15">
                  <c:v>89.054274025213317</c:v>
                </c:pt>
                <c:pt idx="16">
                  <c:v>89.260297907570163</c:v>
                </c:pt>
                <c:pt idx="17">
                  <c:v>89.443245577002244</c:v>
                </c:pt>
                <c:pt idx="18">
                  <c:v>89.606732635295302</c:v>
                </c:pt>
                <c:pt idx="19">
                  <c:v>89.753651726769917</c:v>
                </c:pt>
                <c:pt idx="20">
                  <c:v>89.886345490304336</c:v>
                </c:pt>
                <c:pt idx="21">
                  <c:v>90.00673197324582</c:v>
                </c:pt>
                <c:pt idx="22">
                  <c:v>90.11639711634777</c:v>
                </c:pt>
                <c:pt idx="23">
                  <c:v>90.21666399581342</c:v>
                </c:pt>
                <c:pt idx="24">
                  <c:v>90.308645378527814</c:v>
                </c:pt>
                <c:pt idx="25">
                  <c:v>90.393284111585388</c:v>
                </c:pt>
                <c:pt idx="26">
                  <c:v>90.471384517156409</c:v>
                </c:pt>
                <c:pt idx="27">
                  <c:v>90.543637051448684</c:v>
                </c:pt>
                <c:pt idx="28">
                  <c:v>90.610637859617356</c:v>
                </c:pt>
                <c:pt idx="29">
                  <c:v>90.672904421000638</c:v>
                </c:pt>
                <c:pt idx="30">
                  <c:v>90.730888169417184</c:v>
                </c:pt>
                <c:pt idx="31">
                  <c:v>90.78498475121043</c:v>
                </c:pt>
                <c:pt idx="32">
                  <c:v>90.83554242254867</c:v>
                </c:pt>
                <c:pt idx="33">
                  <c:v>90.882868969171341</c:v>
                </c:pt>
                <c:pt idx="34">
                  <c:v>90.92723744400088</c:v>
                </c:pt>
                <c:pt idx="35">
                  <c:v>90.968890952286898</c:v>
                </c:pt>
                <c:pt idx="36">
                  <c:v>91.008046664238663</c:v>
                </c:pt>
                <c:pt idx="37">
                  <c:v>91.0448991971938</c:v>
                </c:pt>
                <c:pt idx="38">
                  <c:v>91.079623480228392</c:v>
                </c:pt>
                <c:pt idx="39">
                  <c:v>91.112377191539665</c:v>
                </c:pt>
                <c:pt idx="40">
                  <c:v>91.14330284131826</c:v>
                </c:pt>
                <c:pt idx="41">
                  <c:v>91.172529558991698</c:v>
                </c:pt>
                <c:pt idx="42">
                  <c:v>91.200174632781369</c:v>
                </c:pt>
                <c:pt idx="43">
                  <c:v>91.226344840814448</c:v>
                </c:pt>
                <c:pt idx="44">
                  <c:v>91.251137606070628</c:v>
                </c:pt>
                <c:pt idx="45">
                  <c:v>91.274642001843091</c:v>
                </c:pt>
                <c:pt idx="46">
                  <c:v>91.29693962986525</c:v>
                </c:pt>
                <c:pt idx="47">
                  <c:v>91.318105389572949</c:v>
                </c:pt>
                <c:pt idx="48">
                  <c:v>91.338208153967486</c:v>
                </c:pt>
                <c:pt idx="49">
                  <c:v>91.357311365078303</c:v>
                </c:pt>
                <c:pt idx="50">
                  <c:v>91.375473559993509</c:v>
                </c:pt>
                <c:pt idx="51">
                  <c:v>91.392748836745767</c:v>
                </c:pt>
                <c:pt idx="52">
                  <c:v>91.463944082690176</c:v>
                </c:pt>
                <c:pt idx="53">
                  <c:v>91.550922220597471</c:v>
                </c:pt>
                <c:pt idx="54">
                  <c:v>91.634144753690677</c:v>
                </c:pt>
                <c:pt idx="55">
                  <c:v>91.713841770010234</c:v>
                </c:pt>
                <c:pt idx="56">
                  <c:v>91.790225426569279</c:v>
                </c:pt>
                <c:pt idx="57">
                  <c:v>91.863491628031738</c:v>
                </c:pt>
                <c:pt idx="58">
                  <c:v>91.933821523231657</c:v>
                </c:pt>
                <c:pt idx="59">
                  <c:v>92.001382841888329</c:v>
                </c:pt>
                <c:pt idx="60">
                  <c:v>92.066331090823923</c:v>
                </c:pt>
                <c:pt idx="61">
                  <c:v>92.12881062639913</c:v>
                </c:pt>
                <c:pt idx="62">
                  <c:v>92.188955617671454</c:v>
                </c:pt>
                <c:pt idx="63">
                  <c:v>92.246890912890805</c:v>
                </c:pt>
                <c:pt idx="64">
                  <c:v>92.302732820326938</c:v>
                </c:pt>
                <c:pt idx="65">
                  <c:v>92.356589813031476</c:v>
                </c:pt>
                <c:pt idx="66">
                  <c:v>92.408563165939313</c:v>
                </c:pt>
                <c:pt idx="67">
                  <c:v>92.458747532679581</c:v>
                </c:pt>
                <c:pt idx="68">
                  <c:v>92.507231468571703</c:v>
                </c:pt>
                <c:pt idx="69">
                  <c:v>92.554097905507987</c:v>
                </c:pt>
                <c:pt idx="70">
                  <c:v>92.599424583749339</c:v>
                </c:pt>
                <c:pt idx="71">
                  <c:v>92.643284445076546</c:v>
                </c:pt>
                <c:pt idx="72">
                  <c:v>92.685745991227407</c:v>
                </c:pt>
                <c:pt idx="73">
                  <c:v>92.726873611105006</c:v>
                </c:pt>
                <c:pt idx="74">
                  <c:v>92.766727879851004</c:v>
                </c:pt>
                <c:pt idx="75">
                  <c:v>92.805365832536239</c:v>
                </c:pt>
                <c:pt idx="76">
                  <c:v>92.842841214919787</c:v>
                </c:pt>
                <c:pt idx="77">
                  <c:v>92.879204713463849</c:v>
                </c:pt>
                <c:pt idx="78">
                  <c:v>92.914504166557776</c:v>
                </c:pt>
                <c:pt idx="79">
                  <c:v>92.9487847587</c:v>
                </c:pt>
                <c:pt idx="80">
                  <c:v>92.982089199203827</c:v>
                </c:pt>
                <c:pt idx="81">
                  <c:v>93.002677271441542</c:v>
                </c:pt>
                <c:pt idx="82">
                  <c:v>93.020333228324532</c:v>
                </c:pt>
                <c:pt idx="83">
                  <c:v>93.037636996410939</c:v>
                </c:pt>
                <c:pt idx="84">
                  <c:v>93.05459981669172</c:v>
                </c:pt>
                <c:pt idx="85">
                  <c:v>93.071232439089229</c:v>
                </c:pt>
                <c:pt idx="86">
                  <c:v>91.250776712855128</c:v>
                </c:pt>
                <c:pt idx="87">
                  <c:v>91.331184303897444</c:v>
                </c:pt>
                <c:pt idx="88">
                  <c:v>91.409644335173709</c:v>
                </c:pt>
                <c:pt idx="89">
                  <c:v>91.486221750041935</c:v>
                </c:pt>
                <c:pt idx="90">
                  <c:v>91.560978744070056</c:v>
                </c:pt>
                <c:pt idx="91">
                  <c:v>91.633974905700327</c:v>
                </c:pt>
                <c:pt idx="92">
                  <c:v>91.705267348473569</c:v>
                </c:pt>
                <c:pt idx="93">
                  <c:v>91.774910835393371</c:v>
                </c:pt>
                <c:pt idx="94">
                  <c:v>91.842957895965469</c:v>
                </c:pt>
                <c:pt idx="95">
                  <c:v>91.909458936406722</c:v>
                </c:pt>
                <c:pt idx="96">
                  <c:v>91.974462343479928</c:v>
                </c:pt>
                <c:pt idx="97">
                  <c:v>92.038014582377301</c:v>
                </c:pt>
                <c:pt idx="98">
                  <c:v>92.100160289042947</c:v>
                </c:pt>
                <c:pt idx="99">
                  <c:v>92.160942357296534</c:v>
                </c:pt>
                <c:pt idx="100">
                  <c:v>92.180693248958988</c:v>
                </c:pt>
              </c:numCache>
            </c:numRef>
          </c:val>
          <c:smooth val="0"/>
        </c:ser>
        <c:dLbls>
          <c:showLegendKey val="0"/>
          <c:showVal val="0"/>
          <c:showCatName val="0"/>
          <c:showSerName val="0"/>
          <c:showPercent val="0"/>
          <c:showBubbleSize val="0"/>
        </c:dLbls>
        <c:marker val="1"/>
        <c:smooth val="0"/>
        <c:axId val="151344640"/>
        <c:axId val="151346560"/>
      </c:lineChart>
      <c:lineChart>
        <c:grouping val="standard"/>
        <c:varyColors val="0"/>
        <c:ser>
          <c:idx val="2"/>
          <c:order val="1"/>
          <c:tx>
            <c:strRef>
              <c:f>'Calculations - Dual'!$BN$3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Dual'!$BR$5:$BR$105</c:f>
              <c:numCache>
                <c:formatCode>0.0</c:formatCode>
                <c:ptCount val="101"/>
                <c:pt idx="0">
                  <c:v>8.0000000000000018E-7</c:v>
                </c:pt>
                <c:pt idx="1">
                  <c:v>5.2</c:v>
                </c:pt>
                <c:pt idx="2">
                  <c:v>10.4</c:v>
                </c:pt>
                <c:pt idx="3">
                  <c:v>15.600000000000001</c:v>
                </c:pt>
                <c:pt idx="4">
                  <c:v>20.8</c:v>
                </c:pt>
                <c:pt idx="5">
                  <c:v>26.000000000000007</c:v>
                </c:pt>
                <c:pt idx="6">
                  <c:v>31.200000000000003</c:v>
                </c:pt>
                <c:pt idx="7">
                  <c:v>36.4</c:v>
                </c:pt>
                <c:pt idx="8">
                  <c:v>41.6</c:v>
                </c:pt>
                <c:pt idx="9">
                  <c:v>46.8</c:v>
                </c:pt>
                <c:pt idx="10">
                  <c:v>52.000000000000014</c:v>
                </c:pt>
                <c:pt idx="11">
                  <c:v>57.2</c:v>
                </c:pt>
                <c:pt idx="12">
                  <c:v>62.400000000000006</c:v>
                </c:pt>
                <c:pt idx="13">
                  <c:v>67.600000000000009</c:v>
                </c:pt>
                <c:pt idx="14">
                  <c:v>72.8</c:v>
                </c:pt>
                <c:pt idx="15">
                  <c:v>78</c:v>
                </c:pt>
                <c:pt idx="16">
                  <c:v>83.2</c:v>
                </c:pt>
                <c:pt idx="17">
                  <c:v>88.4</c:v>
                </c:pt>
                <c:pt idx="18">
                  <c:v>93.6</c:v>
                </c:pt>
                <c:pt idx="19">
                  <c:v>98.800000000000026</c:v>
                </c:pt>
                <c:pt idx="20">
                  <c:v>104.00000000000003</c:v>
                </c:pt>
                <c:pt idx="21">
                  <c:v>109.20000000000002</c:v>
                </c:pt>
                <c:pt idx="22">
                  <c:v>114.4</c:v>
                </c:pt>
                <c:pt idx="23">
                  <c:v>119.60000000000001</c:v>
                </c:pt>
                <c:pt idx="24">
                  <c:v>124.80000000000001</c:v>
                </c:pt>
                <c:pt idx="25">
                  <c:v>130</c:v>
                </c:pt>
                <c:pt idx="26">
                  <c:v>135.20000000000002</c:v>
                </c:pt>
                <c:pt idx="27">
                  <c:v>140.40000000000003</c:v>
                </c:pt>
                <c:pt idx="28">
                  <c:v>145.6</c:v>
                </c:pt>
                <c:pt idx="29">
                  <c:v>150.79999999999998</c:v>
                </c:pt>
                <c:pt idx="30">
                  <c:v>156</c:v>
                </c:pt>
                <c:pt idx="31">
                  <c:v>161.20000000000002</c:v>
                </c:pt>
                <c:pt idx="32">
                  <c:v>166.4</c:v>
                </c:pt>
                <c:pt idx="33">
                  <c:v>171.60000000000002</c:v>
                </c:pt>
                <c:pt idx="34">
                  <c:v>176.8</c:v>
                </c:pt>
                <c:pt idx="35">
                  <c:v>182</c:v>
                </c:pt>
                <c:pt idx="36">
                  <c:v>187.2</c:v>
                </c:pt>
                <c:pt idx="37">
                  <c:v>192.4</c:v>
                </c:pt>
                <c:pt idx="38">
                  <c:v>197.60000000000005</c:v>
                </c:pt>
                <c:pt idx="39">
                  <c:v>202.80000000000004</c:v>
                </c:pt>
                <c:pt idx="40">
                  <c:v>208.00000000000006</c:v>
                </c:pt>
                <c:pt idx="41">
                  <c:v>213.2</c:v>
                </c:pt>
                <c:pt idx="42">
                  <c:v>218.40000000000003</c:v>
                </c:pt>
                <c:pt idx="43">
                  <c:v>223.60000000000002</c:v>
                </c:pt>
                <c:pt idx="44">
                  <c:v>228.8</c:v>
                </c:pt>
                <c:pt idx="45">
                  <c:v>234.00000000000003</c:v>
                </c:pt>
                <c:pt idx="46">
                  <c:v>239.20000000000002</c:v>
                </c:pt>
                <c:pt idx="47">
                  <c:v>244.4</c:v>
                </c:pt>
                <c:pt idx="48">
                  <c:v>249.60000000000002</c:v>
                </c:pt>
                <c:pt idx="49">
                  <c:v>254.80000000000004</c:v>
                </c:pt>
                <c:pt idx="50">
                  <c:v>260</c:v>
                </c:pt>
                <c:pt idx="51">
                  <c:v>265.2</c:v>
                </c:pt>
                <c:pt idx="52">
                  <c:v>270.40000000000003</c:v>
                </c:pt>
                <c:pt idx="53">
                  <c:v>275.60000000000008</c:v>
                </c:pt>
                <c:pt idx="54">
                  <c:v>280.80000000000007</c:v>
                </c:pt>
                <c:pt idx="55">
                  <c:v>286.00000000000006</c:v>
                </c:pt>
                <c:pt idx="56">
                  <c:v>291.2</c:v>
                </c:pt>
                <c:pt idx="57">
                  <c:v>296.39999999999998</c:v>
                </c:pt>
                <c:pt idx="58">
                  <c:v>301.59999999999997</c:v>
                </c:pt>
                <c:pt idx="59">
                  <c:v>306.79999999999995</c:v>
                </c:pt>
                <c:pt idx="60">
                  <c:v>312</c:v>
                </c:pt>
                <c:pt idx="61">
                  <c:v>317.20000000000005</c:v>
                </c:pt>
                <c:pt idx="62">
                  <c:v>322.40000000000003</c:v>
                </c:pt>
                <c:pt idx="63">
                  <c:v>327.60000000000002</c:v>
                </c:pt>
                <c:pt idx="64">
                  <c:v>332.8</c:v>
                </c:pt>
                <c:pt idx="65">
                  <c:v>338</c:v>
                </c:pt>
                <c:pt idx="66">
                  <c:v>343.20000000000005</c:v>
                </c:pt>
                <c:pt idx="67">
                  <c:v>348.40000000000003</c:v>
                </c:pt>
                <c:pt idx="68">
                  <c:v>353.6</c:v>
                </c:pt>
                <c:pt idx="69">
                  <c:v>358.8</c:v>
                </c:pt>
                <c:pt idx="70">
                  <c:v>364</c:v>
                </c:pt>
                <c:pt idx="71">
                  <c:v>369.2</c:v>
                </c:pt>
                <c:pt idx="72">
                  <c:v>374.4</c:v>
                </c:pt>
                <c:pt idx="73">
                  <c:v>379.59999999999997</c:v>
                </c:pt>
                <c:pt idx="74">
                  <c:v>384.8</c:v>
                </c:pt>
                <c:pt idx="75">
                  <c:v>390.00000000000006</c:v>
                </c:pt>
                <c:pt idx="76">
                  <c:v>395.2000000000001</c:v>
                </c:pt>
                <c:pt idx="77">
                  <c:v>400.40000000000009</c:v>
                </c:pt>
                <c:pt idx="78">
                  <c:v>405.60000000000008</c:v>
                </c:pt>
                <c:pt idx="79">
                  <c:v>410.80000000000013</c:v>
                </c:pt>
                <c:pt idx="80">
                  <c:v>416.00000000000011</c:v>
                </c:pt>
                <c:pt idx="81">
                  <c:v>421.2000000000001</c:v>
                </c:pt>
                <c:pt idx="82">
                  <c:v>426.4</c:v>
                </c:pt>
                <c:pt idx="83">
                  <c:v>431.59999999999997</c:v>
                </c:pt>
                <c:pt idx="84">
                  <c:v>436.80000000000007</c:v>
                </c:pt>
                <c:pt idx="85">
                  <c:v>442.00000000000006</c:v>
                </c:pt>
                <c:pt idx="86">
                  <c:v>447.20000000000005</c:v>
                </c:pt>
                <c:pt idx="87">
                  <c:v>452.40000000000003</c:v>
                </c:pt>
                <c:pt idx="88">
                  <c:v>457.6</c:v>
                </c:pt>
                <c:pt idx="89">
                  <c:v>462.80000000000013</c:v>
                </c:pt>
                <c:pt idx="90">
                  <c:v>468.00000000000006</c:v>
                </c:pt>
                <c:pt idx="91">
                  <c:v>473.20000000000005</c:v>
                </c:pt>
                <c:pt idx="92">
                  <c:v>478.40000000000003</c:v>
                </c:pt>
                <c:pt idx="93">
                  <c:v>483.6</c:v>
                </c:pt>
                <c:pt idx="94">
                  <c:v>488.8</c:v>
                </c:pt>
                <c:pt idx="95">
                  <c:v>494.00000000000006</c:v>
                </c:pt>
                <c:pt idx="96">
                  <c:v>499.20000000000005</c:v>
                </c:pt>
                <c:pt idx="97">
                  <c:v>504.4</c:v>
                </c:pt>
                <c:pt idx="98">
                  <c:v>509.60000000000008</c:v>
                </c:pt>
                <c:pt idx="99">
                  <c:v>514.80000000000007</c:v>
                </c:pt>
                <c:pt idx="100">
                  <c:v>520</c:v>
                </c:pt>
              </c:numCache>
            </c:numRef>
          </c:val>
          <c:smooth val="0"/>
        </c:ser>
        <c:ser>
          <c:idx val="3"/>
          <c:order val="2"/>
          <c:tx>
            <c:strRef>
              <c:f>'Calculations - Dual'!$BH$3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Dual'!$BM$5:$BM$105</c:f>
              <c:numCache>
                <c:formatCode>0.0</c:formatCode>
                <c:ptCount val="101"/>
                <c:pt idx="0">
                  <c:v>7.067468615123456</c:v>
                </c:pt>
                <c:pt idx="1">
                  <c:v>17.042471924963831</c:v>
                </c:pt>
                <c:pt idx="2">
                  <c:v>30.169943849927662</c:v>
                </c:pt>
                <c:pt idx="3">
                  <c:v>43.297415774891505</c:v>
                </c:pt>
                <c:pt idx="4">
                  <c:v>56.424887699855326</c:v>
                </c:pt>
                <c:pt idx="5">
                  <c:v>69.552359624819161</c:v>
                </c:pt>
                <c:pt idx="6">
                  <c:v>84.97425055305149</c:v>
                </c:pt>
                <c:pt idx="7">
                  <c:v>102.07552249014216</c:v>
                </c:pt>
                <c:pt idx="8">
                  <c:v>120.07666154962349</c:v>
                </c:pt>
                <c:pt idx="9">
                  <c:v>130.03867022424791</c:v>
                </c:pt>
                <c:pt idx="10">
                  <c:v>134.04617900644624</c:v>
                </c:pt>
                <c:pt idx="11">
                  <c:v>137.99792416276497</c:v>
                </c:pt>
                <c:pt idx="12">
                  <c:v>141.90760775636488</c:v>
                </c:pt>
                <c:pt idx="13">
                  <c:v>145.785870009993</c:v>
                </c:pt>
                <c:pt idx="14">
                  <c:v>149.64113033729842</c:v>
                </c:pt>
                <c:pt idx="15">
                  <c:v>153.48015653118446</c:v>
                </c:pt>
                <c:pt idx="16">
                  <c:v>157.3084617749368</c:v>
                </c:pt>
                <c:pt idx="17">
                  <c:v>161.13058875911491</c:v>
                </c:pt>
                <c:pt idx="18">
                  <c:v>164.95031755270617</c:v>
                </c:pt>
                <c:pt idx="19">
                  <c:v>168.77082064580628</c:v>
                </c:pt>
                <c:pt idx="20">
                  <c:v>172.59478056190704</c:v>
                </c:pt>
                <c:pt idx="21">
                  <c:v>176.42448042235199</c:v>
                </c:pt>
                <c:pt idx="22">
                  <c:v>180.26187462076771</c:v>
                </c:pt>
                <c:pt idx="23">
                  <c:v>184.10864464056922</c:v>
                </c:pt>
                <c:pt idx="24">
                  <c:v>187.96624361783799</c:v>
                </c:pt>
                <c:pt idx="25">
                  <c:v>191.83593226928818</c:v>
                </c:pt>
                <c:pt idx="26">
                  <c:v>195.71880811822064</c:v>
                </c:pt>
                <c:pt idx="27">
                  <c:v>199.61582946350907</c:v>
                </c:pt>
                <c:pt idx="28">
                  <c:v>203.52783518502574</c:v>
                </c:pt>
                <c:pt idx="29">
                  <c:v>207.45556122203283</c:v>
                </c:pt>
                <c:pt idx="30">
                  <c:v>211.39965437108606</c:v>
                </c:pt>
                <c:pt idx="31">
                  <c:v>215.36068390788233</c:v>
                </c:pt>
                <c:pt idx="32">
                  <c:v>219.33915143005487</c:v>
                </c:pt>
                <c:pt idx="33">
                  <c:v>223.33549923591082</c:v>
                </c:pt>
                <c:pt idx="34">
                  <c:v>227.35011749093474</c:v>
                </c:pt>
                <c:pt idx="35">
                  <c:v>231.38335038480216</c:v>
                </c:pt>
                <c:pt idx="36">
                  <c:v>235.43550144321765</c:v>
                </c:pt>
                <c:pt idx="37">
                  <c:v>239.50683812857329</c:v>
                </c:pt>
                <c:pt idx="38">
                  <c:v>243.59759583933524</c:v>
                </c:pt>
                <c:pt idx="39">
                  <c:v>247.70798139880952</c:v>
                </c:pt>
                <c:pt idx="40">
                  <c:v>251.8381761084384</c:v>
                </c:pt>
                <c:pt idx="41">
                  <c:v>255.98833842823609</c:v>
                </c:pt>
                <c:pt idx="42">
                  <c:v>260.15860633676726</c:v>
                </c:pt>
                <c:pt idx="43">
                  <c:v>264.34909941471943</c:v>
                </c:pt>
                <c:pt idx="44">
                  <c:v>268.55992068925627</c:v>
                </c:pt>
                <c:pt idx="45">
                  <c:v>272.79115827066744</c:v>
                </c:pt>
                <c:pt idx="46">
                  <c:v>277.0428868081255</c:v>
                </c:pt>
                <c:pt idx="47">
                  <c:v>281.31516878743844</c:v>
                </c:pt>
                <c:pt idx="48">
                  <c:v>285.60805569040724</c:v>
                </c:pt>
                <c:pt idx="49">
                  <c:v>289.92158903264101</c:v>
                </c:pt>
                <c:pt idx="50">
                  <c:v>294.25580129435792</c:v>
                </c:pt>
                <c:pt idx="51">
                  <c:v>298.61071675674032</c:v>
                </c:pt>
                <c:pt idx="52">
                  <c:v>298.73683523181865</c:v>
                </c:pt>
                <c:pt idx="53">
                  <c:v>297.42628490830776</c:v>
                </c:pt>
                <c:pt idx="54">
                  <c:v>296.18395587604834</c:v>
                </c:pt>
                <c:pt idx="55">
                  <c:v>295.00612540093783</c:v>
                </c:pt>
                <c:pt idx="56">
                  <c:v>293.88933199161471</c:v>
                </c:pt>
                <c:pt idx="57">
                  <c:v>292.83035289290439</c:v>
                </c:pt>
                <c:pt idx="58">
                  <c:v>291.82618387056306</c:v>
                </c:pt>
                <c:pt idx="59">
                  <c:v>290.87402101921407</c:v>
                </c:pt>
                <c:pt idx="60">
                  <c:v>289.97124436070004</c:v>
                </c:pt>
                <c:pt idx="61">
                  <c:v>289.11540303022412</c:v>
                </c:pt>
                <c:pt idx="62">
                  <c:v>288.30420187349694</c:v>
                </c:pt>
                <c:pt idx="63">
                  <c:v>287.5354893002725</c:v>
                </c:pt>
                <c:pt idx="64">
                  <c:v>286.80724625875825</c:v>
                </c:pt>
                <c:pt idx="65">
                  <c:v>286.11757621185779</c:v>
                </c:pt>
                <c:pt idx="66">
                  <c:v>285.46469601045925</c:v>
                </c:pt>
                <c:pt idx="67">
                  <c:v>284.84692757134349</c:v>
                </c:pt>
                <c:pt idx="68">
                  <c:v>284.26269027802721</c:v>
                </c:pt>
                <c:pt idx="69">
                  <c:v>283.71049403221201</c:v>
                </c:pt>
                <c:pt idx="70">
                  <c:v>283.18893289167369</c:v>
                </c:pt>
                <c:pt idx="71">
                  <c:v>282.69667923757419</c:v>
                </c:pt>
                <c:pt idx="72">
                  <c:v>282.23247842042633</c:v>
                </c:pt>
                <c:pt idx="73">
                  <c:v>281.79514383944945</c:v>
                </c:pt>
                <c:pt idx="74">
                  <c:v>281.38355241487716</c:v>
                </c:pt>
                <c:pt idx="75">
                  <c:v>280.99664041704568</c:v>
                </c:pt>
                <c:pt idx="76">
                  <c:v>280.63339961985082</c:v>
                </c:pt>
                <c:pt idx="77">
                  <c:v>280.29287374948456</c:v>
                </c:pt>
                <c:pt idx="78">
                  <c:v>279.97415520231647</c:v>
                </c:pt>
                <c:pt idx="79">
                  <c:v>279.67638200839178</c:v>
                </c:pt>
                <c:pt idx="80">
                  <c:v>279.39873501934721</c:v>
                </c:pt>
                <c:pt idx="81">
                  <c:v>280.50908315390575</c:v>
                </c:pt>
                <c:pt idx="82">
                  <c:v>281.90979525765647</c:v>
                </c:pt>
                <c:pt idx="83">
                  <c:v>283.30611583015451</c:v>
                </c:pt>
                <c:pt idx="84">
                  <c:v>284.69810621757534</c:v>
                </c:pt>
                <c:pt idx="85">
                  <c:v>286.0858260344462</c:v>
                </c:pt>
                <c:pt idx="86">
                  <c:v>443.46351530942138</c:v>
                </c:pt>
                <c:pt idx="87">
                  <c:v>440.77434911130092</c:v>
                </c:pt>
                <c:pt idx="88">
                  <c:v>438.11922903372965</c:v>
                </c:pt>
                <c:pt idx="89">
                  <c:v>435.49751258376989</c:v>
                </c:pt>
                <c:pt idx="90">
                  <c:v>432.90857333362294</c:v>
                </c:pt>
                <c:pt idx="91">
                  <c:v>430.35180042162415</c:v>
                </c:pt>
                <c:pt idx="92">
                  <c:v>427.82659807172456</c:v>
                </c:pt>
                <c:pt idx="93">
                  <c:v>425.33238513066163</c:v>
                </c:pt>
                <c:pt idx="94">
                  <c:v>422.86859462206678</c:v>
                </c:pt>
                <c:pt idx="95">
                  <c:v>420.4346733167888</c:v>
                </c:pt>
                <c:pt idx="96">
                  <c:v>418.0300813187518</c:v>
                </c:pt>
                <c:pt idx="97">
                  <c:v>415.65429166569436</c:v>
                </c:pt>
                <c:pt idx="98">
                  <c:v>413.3067899441694</c:v>
                </c:pt>
                <c:pt idx="99">
                  <c:v>410.98707391821739</c:v>
                </c:pt>
                <c:pt idx="100">
                  <c:v>408.69465317114373</c:v>
                </c:pt>
              </c:numCache>
            </c:numRef>
          </c:val>
          <c:smooth val="0"/>
        </c:ser>
        <c:ser>
          <c:idx val="1"/>
          <c:order val="3"/>
          <c:tx>
            <c:strRef>
              <c:f>'Calculations - Dual'!$BS$3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Dual'!$BX$5:$BX$105</c:f>
              <c:numCache>
                <c:formatCode>0.0</c:formatCode>
                <c:ptCount val="101"/>
                <c:pt idx="0">
                  <c:v>11.8328780787037</c:v>
                </c:pt>
                <c:pt idx="1">
                  <c:v>12.595391203703699</c:v>
                </c:pt>
                <c:pt idx="2">
                  <c:v>13.59888657407407</c:v>
                </c:pt>
                <c:pt idx="3">
                  <c:v>14.602381944444444</c:v>
                </c:pt>
                <c:pt idx="4">
                  <c:v>15.605877314814817</c:v>
                </c:pt>
                <c:pt idx="5">
                  <c:v>16.609372685185182</c:v>
                </c:pt>
                <c:pt idx="6">
                  <c:v>19.993453889883131</c:v>
                </c:pt>
                <c:pt idx="7">
                  <c:v>24.615141576921165</c:v>
                </c:pt>
                <c:pt idx="8">
                  <c:v>29.596538675074729</c:v>
                </c:pt>
                <c:pt idx="9">
                  <c:v>33.931691605325106</c:v>
                </c:pt>
                <c:pt idx="10">
                  <c:v>37.64959976933676</c:v>
                </c:pt>
                <c:pt idx="11">
                  <c:v>41.359862387052999</c:v>
                </c:pt>
                <c:pt idx="12">
                  <c:v>45.062836056868463</c:v>
                </c:pt>
                <c:pt idx="13">
                  <c:v>48.758831668389938</c:v>
                </c:pt>
                <c:pt idx="14">
                  <c:v>52.448123410246254</c:v>
                </c:pt>
                <c:pt idx="15">
                  <c:v>56.130955471695998</c:v>
                </c:pt>
                <c:pt idx="16">
                  <c:v>59.807547146107019</c:v>
                </c:pt>
                <c:pt idx="17">
                  <c:v>63.478096795432428</c:v>
                </c:pt>
                <c:pt idx="18">
                  <c:v>67.142784983155593</c:v>
                </c:pt>
                <c:pt idx="19">
                  <c:v>70.801776987407806</c:v>
                </c:pt>
                <c:pt idx="20">
                  <c:v>74.455224843576048</c:v>
                </c:pt>
                <c:pt idx="21">
                  <c:v>78.103269023966362</c:v>
                </c:pt>
                <c:pt idx="22">
                  <c:v>81.746039833471045</c:v>
                </c:pt>
                <c:pt idx="23">
                  <c:v>85.383658580157842</c:v>
                </c:pt>
                <c:pt idx="24">
                  <c:v>89.016238565412706</c:v>
                </c:pt>
                <c:pt idx="25">
                  <c:v>92.643885927903511</c:v>
                </c:pt>
                <c:pt idx="26">
                  <c:v>96.266700367997458</c:v>
                </c:pt>
                <c:pt idx="27">
                  <c:v>99.884775773563803</c:v>
                </c:pt>
                <c:pt idx="28">
                  <c:v>103.49820076378063</c:v>
                </c:pt>
                <c:pt idx="29">
                  <c:v>107.10705916426394</c:v>
                </c:pt>
                <c:pt idx="30">
                  <c:v>110.71143042428463</c:v>
                </c:pt>
                <c:pt idx="31">
                  <c:v>114.31138998484543</c:v>
                </c:pt>
                <c:pt idx="32">
                  <c:v>117.90700960481936</c:v>
                </c:pt>
                <c:pt idx="33">
                  <c:v>121.49835765109971</c:v>
                </c:pt>
                <c:pt idx="34">
                  <c:v>125.08549935771352</c:v>
                </c:pt>
                <c:pt idx="35">
                  <c:v>128.66849705804</c:v>
                </c:pt>
                <c:pt idx="36">
                  <c:v>132.24741039362135</c:v>
                </c:pt>
                <c:pt idx="37">
                  <c:v>135.82229650251466</c:v>
                </c:pt>
                <c:pt idx="38">
                  <c:v>139.3932101896923</c:v>
                </c:pt>
                <c:pt idx="39">
                  <c:v>142.96020408163267</c:v>
                </c:pt>
                <c:pt idx="40">
                  <c:v>146.52332876693896</c:v>
                </c:pt>
                <c:pt idx="41">
                  <c:v>150.08263292456846</c:v>
                </c:pt>
                <c:pt idx="42">
                  <c:v>153.63816344104202</c:v>
                </c:pt>
                <c:pt idx="43">
                  <c:v>157.18996551782183</c:v>
                </c:pt>
                <c:pt idx="44">
                  <c:v>160.73808276989334</c:v>
                </c:pt>
                <c:pt idx="45">
                  <c:v>164.28255731645689</c:v>
                </c:pt>
                <c:pt idx="46">
                  <c:v>167.82342986452207</c:v>
                </c:pt>
                <c:pt idx="47">
                  <c:v>171.36073978610492</c:v>
                </c:pt>
                <c:pt idx="48">
                  <c:v>174.89452518964166</c:v>
                </c:pt>
                <c:pt idx="49">
                  <c:v>178.4248229861673</c:v>
                </c:pt>
                <c:pt idx="50">
                  <c:v>181.95166895073933</c:v>
                </c:pt>
                <c:pt idx="51">
                  <c:v>185.47509777953999</c:v>
                </c:pt>
                <c:pt idx="52">
                  <c:v>187.93182494552076</c:v>
                </c:pt>
                <c:pt idx="53">
                  <c:v>190.01327150135205</c:v>
                </c:pt>
                <c:pt idx="54">
                  <c:v>192.09578819032757</c:v>
                </c:pt>
                <c:pt idx="55">
                  <c:v>194.1793454203256</c:v>
                </c:pt>
                <c:pt idx="56">
                  <c:v>196.2639149384309</c:v>
                </c:pt>
                <c:pt idx="57">
                  <c:v>198.34946974759092</c:v>
                </c:pt>
                <c:pt idx="58">
                  <c:v>200.43598402982477</c:v>
                </c:pt>
                <c:pt idx="59">
                  <c:v>202.52343307536552</c:v>
                </c:pt>
                <c:pt idx="60">
                  <c:v>204.6117932171851</c:v>
                </c:pt>
                <c:pt idx="61">
                  <c:v>206.70104177041068</c:v>
                </c:pt>
                <c:pt idx="62">
                  <c:v>208.79115697619315</c:v>
                </c:pt>
                <c:pt idx="63">
                  <c:v>210.8821179496332</c:v>
                </c:pt>
                <c:pt idx="64">
                  <c:v>212.97390463141397</c:v>
                </c:pt>
                <c:pt idx="65">
                  <c:v>215.06649774282084</c:v>
                </c:pt>
                <c:pt idx="66">
                  <c:v>217.15987874386508</c:v>
                </c:pt>
                <c:pt idx="67">
                  <c:v>219.25402979425107</c:v>
                </c:pt>
                <c:pt idx="68">
                  <c:v>221.3489337169564</c:v>
                </c:pt>
                <c:pt idx="69">
                  <c:v>223.44457396421436</c:v>
                </c:pt>
                <c:pt idx="70">
                  <c:v>225.54093458570543</c:v>
                </c:pt>
                <c:pt idx="71">
                  <c:v>227.63800019878894</c:v>
                </c:pt>
                <c:pt idx="72">
                  <c:v>229.73575596061298</c:v>
                </c:pt>
                <c:pt idx="73">
                  <c:v>231.83418754196305</c:v>
                </c:pt>
                <c:pt idx="74">
                  <c:v>233.9332811027171</c:v>
                </c:pt>
                <c:pt idx="75">
                  <c:v>236.03302326878773</c:v>
                </c:pt>
                <c:pt idx="76">
                  <c:v>238.13340111044468</c:v>
                </c:pt>
                <c:pt idx="77">
                  <c:v>240.23440212191537</c:v>
                </c:pt>
                <c:pt idx="78">
                  <c:v>242.33601420217516</c:v>
                </c:pt>
                <c:pt idx="79">
                  <c:v>244.43822563684154</c:v>
                </c:pt>
                <c:pt idx="80">
                  <c:v>246.54102508109733</c:v>
                </c:pt>
                <c:pt idx="81">
                  <c:v>248.99655879233217</c:v>
                </c:pt>
                <c:pt idx="82">
                  <c:v>251.52225698966478</c:v>
                </c:pt>
                <c:pt idx="83">
                  <c:v>254.04235578621766</c:v>
                </c:pt>
                <c:pt idx="84">
                  <c:v>256.55697307304825</c:v>
                </c:pt>
                <c:pt idx="85">
                  <c:v>259.06622352936586</c:v>
                </c:pt>
                <c:pt idx="86">
                  <c:v>395.67709294317098</c:v>
                </c:pt>
                <c:pt idx="87">
                  <c:v>395.02931893730369</c:v>
                </c:pt>
                <c:pt idx="88">
                  <c:v>394.38974605783295</c:v>
                </c:pt>
                <c:pt idx="89">
                  <c:v>393.75821953923196</c:v>
                </c:pt>
                <c:pt idx="90">
                  <c:v>393.13458848578978</c:v>
                </c:pt>
                <c:pt idx="91">
                  <c:v>392.51870575141066</c:v>
                </c:pt>
                <c:pt idx="92">
                  <c:v>391.91042782386455</c:v>
                </c:pt>
                <c:pt idx="93">
                  <c:v>391.30961471329965</c:v>
                </c:pt>
                <c:pt idx="94">
                  <c:v>390.71612984483528</c:v>
                </c:pt>
                <c:pt idx="95">
                  <c:v>390.12983995505931</c:v>
                </c:pt>
                <c:pt idx="96">
                  <c:v>389.55061499226827</c:v>
                </c:pt>
                <c:pt idx="97">
                  <c:v>388.97832802029365</c:v>
                </c:pt>
                <c:pt idx="98">
                  <c:v>388.41285512576019</c:v>
                </c:pt>
                <c:pt idx="99">
                  <c:v>387.85407532864104</c:v>
                </c:pt>
                <c:pt idx="100">
                  <c:v>387.30187049596725</c:v>
                </c:pt>
              </c:numCache>
            </c:numRef>
          </c:val>
          <c:smooth val="0"/>
        </c:ser>
        <c:dLbls>
          <c:showLegendKey val="0"/>
          <c:showVal val="0"/>
          <c:showCatName val="0"/>
          <c:showSerName val="0"/>
          <c:showPercent val="0"/>
          <c:showBubbleSize val="0"/>
        </c:dLbls>
        <c:marker val="1"/>
        <c:smooth val="0"/>
        <c:axId val="151354752"/>
        <c:axId val="151352832"/>
      </c:lineChart>
      <c:catAx>
        <c:axId val="151344640"/>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a:t>
                </a:r>
                <a:r>
                  <a:rPr lang="en-US" sz="1200" baseline="0">
                    <a:solidFill>
                      <a:srgbClr val="0000FF"/>
                    </a:solidFill>
                    <a:latin typeface="Arial" pitchFamily="34" charset="0"/>
                    <a:cs typeface="Arial" pitchFamily="34" charset="0"/>
                  </a:rPr>
                  <a:t> Total Rated Output Power</a:t>
                </a:r>
                <a:endParaRPr lang="en-US" sz="1200">
                  <a:solidFill>
                    <a:srgbClr val="0000FF"/>
                  </a:solidFill>
                  <a:latin typeface="Arial" pitchFamily="34" charset="0"/>
                  <a:cs typeface="Arial" pitchFamily="34" charset="0"/>
                </a:endParaRPr>
              </a:p>
            </c:rich>
          </c:tx>
          <c:layout>
            <c:manualLayout>
              <c:xMode val="edge"/>
              <c:yMode val="edge"/>
              <c:x val="0.37236214410842988"/>
              <c:y val="0.9410299506954154"/>
            </c:manualLayout>
          </c:layout>
          <c:overlay val="0"/>
          <c:spPr>
            <a:noFill/>
            <a:ln w="25400">
              <a:noFill/>
            </a:ln>
          </c:spPr>
        </c:title>
        <c:numFmt formatCode="General"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51346560"/>
        <c:crosses val="autoZero"/>
        <c:auto val="1"/>
        <c:lblAlgn val="ctr"/>
        <c:lblOffset val="100"/>
        <c:tickLblSkip val="20"/>
        <c:tickMarkSkip val="20"/>
        <c:noMultiLvlLbl val="0"/>
      </c:catAx>
      <c:valAx>
        <c:axId val="151346560"/>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51344640"/>
        <c:crossesAt val="0"/>
        <c:crossBetween val="between"/>
        <c:majorUnit val="5"/>
        <c:minorUnit val="2.5"/>
      </c:valAx>
      <c:valAx>
        <c:axId val="151352832"/>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51354752"/>
        <c:crosses val="max"/>
        <c:crossBetween val="between"/>
      </c:valAx>
      <c:catAx>
        <c:axId val="151354752"/>
        <c:scaling>
          <c:orientation val="minMax"/>
        </c:scaling>
        <c:delete val="1"/>
        <c:axPos val="b"/>
        <c:numFmt formatCode="General" sourceLinked="1"/>
        <c:majorTickMark val="out"/>
        <c:minorTickMark val="none"/>
        <c:tickLblPos val="nextTo"/>
        <c:crossAx val="151352832"/>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Single'!$AJ$110:$AJ$210</c:f>
              <c:numCache>
                <c:formatCode>0.000</c:formatCode>
                <c:ptCount val="101"/>
                <c:pt idx="0">
                  <c:v>0.82</c:v>
                </c:pt>
                <c:pt idx="1">
                  <c:v>0.82</c:v>
                </c:pt>
                <c:pt idx="2">
                  <c:v>0.82</c:v>
                </c:pt>
                <c:pt idx="3">
                  <c:v>0.82</c:v>
                </c:pt>
                <c:pt idx="4">
                  <c:v>0.82</c:v>
                </c:pt>
                <c:pt idx="5">
                  <c:v>0.82</c:v>
                </c:pt>
                <c:pt idx="6">
                  <c:v>0.82</c:v>
                </c:pt>
                <c:pt idx="7">
                  <c:v>0.82</c:v>
                </c:pt>
                <c:pt idx="8">
                  <c:v>0.82</c:v>
                </c:pt>
                <c:pt idx="9">
                  <c:v>0.84852813742385702</c:v>
                </c:pt>
                <c:pt idx="10">
                  <c:v>0.89442719099991608</c:v>
                </c:pt>
                <c:pt idx="11">
                  <c:v>0.93808315196468595</c:v>
                </c:pt>
                <c:pt idx="12">
                  <c:v>0.97979589711327131</c:v>
                </c:pt>
                <c:pt idx="13">
                  <c:v>1.019803902718557</c:v>
                </c:pt>
                <c:pt idx="14">
                  <c:v>1.0583005244258363</c:v>
                </c:pt>
                <c:pt idx="15">
                  <c:v>1.0954451150103321</c:v>
                </c:pt>
                <c:pt idx="16">
                  <c:v>1.131370849898476</c:v>
                </c:pt>
                <c:pt idx="17">
                  <c:v>1.1661903789690602</c:v>
                </c:pt>
                <c:pt idx="18">
                  <c:v>1.2</c:v>
                </c:pt>
                <c:pt idx="19">
                  <c:v>1.2328828005937955</c:v>
                </c:pt>
                <c:pt idx="20">
                  <c:v>1.264911064067352</c:v>
                </c:pt>
                <c:pt idx="21">
                  <c:v>1.2961481396815722</c:v>
                </c:pt>
                <c:pt idx="22">
                  <c:v>1.3266499161421601</c:v>
                </c:pt>
                <c:pt idx="23">
                  <c:v>1.3564659966250538</c:v>
                </c:pt>
                <c:pt idx="24">
                  <c:v>1.3856406460551018</c:v>
                </c:pt>
                <c:pt idx="25">
                  <c:v>1.4142135623730951</c:v>
                </c:pt>
                <c:pt idx="26">
                  <c:v>1.4422205101855958</c:v>
                </c:pt>
                <c:pt idx="27">
                  <c:v>1.4696938456699071</c:v>
                </c:pt>
                <c:pt idx="28">
                  <c:v>1.4966629547095767</c:v>
                </c:pt>
                <c:pt idx="29">
                  <c:v>1.5231546211727816</c:v>
                </c:pt>
                <c:pt idx="30">
                  <c:v>1.5491933384829668</c:v>
                </c:pt>
                <c:pt idx="31">
                  <c:v>1.5748015748023623</c:v>
                </c:pt>
                <c:pt idx="32">
                  <c:v>1.6</c:v>
                </c:pt>
                <c:pt idx="33">
                  <c:v>1.6248076809271921</c:v>
                </c:pt>
                <c:pt idx="34">
                  <c:v>1.6492422502470645</c:v>
                </c:pt>
                <c:pt idx="35">
                  <c:v>1.6733200530681511</c:v>
                </c:pt>
                <c:pt idx="36">
                  <c:v>1.697056274847714</c:v>
                </c:pt>
                <c:pt idx="37">
                  <c:v>1.7204650534085253</c:v>
                </c:pt>
                <c:pt idx="38">
                  <c:v>1.7435595774162698</c:v>
                </c:pt>
                <c:pt idx="39">
                  <c:v>1.7663521732655696</c:v>
                </c:pt>
                <c:pt idx="40">
                  <c:v>1.7888543819998322</c:v>
                </c:pt>
                <c:pt idx="41">
                  <c:v>1.8110770276274835</c:v>
                </c:pt>
                <c:pt idx="42">
                  <c:v>1.8330302779823362</c:v>
                </c:pt>
                <c:pt idx="43">
                  <c:v>1.8547236990991409</c:v>
                </c:pt>
                <c:pt idx="44">
                  <c:v>1.8761663039293719</c:v>
                </c:pt>
                <c:pt idx="45">
                  <c:v>1.8973665961010278</c:v>
                </c:pt>
                <c:pt idx="46">
                  <c:v>1.9183326093250879</c:v>
                </c:pt>
                <c:pt idx="47">
                  <c:v>1.9390719429665317</c:v>
                </c:pt>
                <c:pt idx="48">
                  <c:v>1.9595917942265426</c:v>
                </c:pt>
                <c:pt idx="49">
                  <c:v>1.9798989873223332</c:v>
                </c:pt>
                <c:pt idx="50">
                  <c:v>2</c:v>
                </c:pt>
                <c:pt idx="51">
                  <c:v>2.0199009876724157</c:v>
                </c:pt>
                <c:pt idx="52">
                  <c:v>2.0396078054371141</c:v>
                </c:pt>
                <c:pt idx="53">
                  <c:v>2.0591260281974004</c:v>
                </c:pt>
                <c:pt idx="54">
                  <c:v>2.078460969082653</c:v>
                </c:pt>
                <c:pt idx="55">
                  <c:v>2.0976176963403033</c:v>
                </c:pt>
                <c:pt idx="56">
                  <c:v>2.1166010488516727</c:v>
                </c:pt>
                <c:pt idx="57">
                  <c:v>2.2204081632653065</c:v>
                </c:pt>
                <c:pt idx="58">
                  <c:v>2.2593626924453996</c:v>
                </c:pt>
                <c:pt idx="59">
                  <c:v>2.2983172216254926</c:v>
                </c:pt>
                <c:pt idx="60">
                  <c:v>2.3372717508055856</c:v>
                </c:pt>
                <c:pt idx="61">
                  <c:v>2.376226279985679</c:v>
                </c:pt>
                <c:pt idx="62">
                  <c:v>2.415180809165772</c:v>
                </c:pt>
                <c:pt idx="63">
                  <c:v>2.4541353383458651</c:v>
                </c:pt>
                <c:pt idx="64">
                  <c:v>2.4930898675259585</c:v>
                </c:pt>
                <c:pt idx="65">
                  <c:v>2.5320443967060515</c:v>
                </c:pt>
                <c:pt idx="66">
                  <c:v>2.5709989258861445</c:v>
                </c:pt>
                <c:pt idx="67">
                  <c:v>2.6099534550662375</c:v>
                </c:pt>
                <c:pt idx="68">
                  <c:v>2.648907984246331</c:v>
                </c:pt>
                <c:pt idx="69">
                  <c:v>2.6878625134264231</c:v>
                </c:pt>
                <c:pt idx="70">
                  <c:v>2.7268170426065166</c:v>
                </c:pt>
                <c:pt idx="71">
                  <c:v>2.7657715717866096</c:v>
                </c:pt>
                <c:pt idx="72">
                  <c:v>2.8047261009667026</c:v>
                </c:pt>
                <c:pt idx="73">
                  <c:v>2.8436806301467956</c:v>
                </c:pt>
                <c:pt idx="74">
                  <c:v>2.8826351593268891</c:v>
                </c:pt>
                <c:pt idx="75">
                  <c:v>2.921589688506983</c:v>
                </c:pt>
                <c:pt idx="76">
                  <c:v>2.960544217687076</c:v>
                </c:pt>
                <c:pt idx="77">
                  <c:v>2.999498746867169</c:v>
                </c:pt>
                <c:pt idx="78">
                  <c:v>3.038453276047262</c:v>
                </c:pt>
                <c:pt idx="79">
                  <c:v>3.0774078052273555</c:v>
                </c:pt>
                <c:pt idx="80">
                  <c:v>3.1163623344074485</c:v>
                </c:pt>
                <c:pt idx="81">
                  <c:v>3.1553168635875415</c:v>
                </c:pt>
                <c:pt idx="82">
                  <c:v>3.1942713927676341</c:v>
                </c:pt>
                <c:pt idx="83">
                  <c:v>3.2332259219477271</c:v>
                </c:pt>
                <c:pt idx="84">
                  <c:v>3.2721804511278201</c:v>
                </c:pt>
                <c:pt idx="85">
                  <c:v>3.3111349803079135</c:v>
                </c:pt>
                <c:pt idx="86">
                  <c:v>3.3500895094880065</c:v>
                </c:pt>
                <c:pt idx="87">
                  <c:v>3.3890440386680996</c:v>
                </c:pt>
                <c:pt idx="88">
                  <c:v>3.4279985678481926</c:v>
                </c:pt>
                <c:pt idx="89">
                  <c:v>3.466953097028286</c:v>
                </c:pt>
                <c:pt idx="90">
                  <c:v>3.505907626208379</c:v>
                </c:pt>
                <c:pt idx="91">
                  <c:v>3.544862155388472</c:v>
                </c:pt>
                <c:pt idx="92">
                  <c:v>3.5838166845685655</c:v>
                </c:pt>
                <c:pt idx="93">
                  <c:v>3.6227712137486585</c:v>
                </c:pt>
                <c:pt idx="94">
                  <c:v>3.6617257429287515</c:v>
                </c:pt>
                <c:pt idx="95">
                  <c:v>3.7006802721088445</c:v>
                </c:pt>
                <c:pt idx="96">
                  <c:v>3.739634801288938</c:v>
                </c:pt>
                <c:pt idx="97">
                  <c:v>3.778589330469031</c:v>
                </c:pt>
                <c:pt idx="98">
                  <c:v>3.817543859649124</c:v>
                </c:pt>
                <c:pt idx="99">
                  <c:v>3.856498388829217</c:v>
                </c:pt>
                <c:pt idx="100">
                  <c:v>3.8954529180093105</c:v>
                </c:pt>
              </c:numCache>
            </c:numRef>
          </c:val>
          <c:smooth val="0"/>
        </c:ser>
        <c:ser>
          <c:idx val="0"/>
          <c:order val="1"/>
          <c:tx>
            <c:v>VIN-nom</c:v>
          </c:tx>
          <c:spPr>
            <a:ln w="28575">
              <a:solidFill>
                <a:srgbClr val="0000FF"/>
              </a:solidFill>
              <a:prstDash val="lgDash"/>
            </a:ln>
          </c:spPr>
          <c:marker>
            <c:symbol val="none"/>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Single'!$AJ$5:$AJ$105</c:f>
              <c:numCache>
                <c:formatCode>0.000</c:formatCode>
                <c:ptCount val="101"/>
                <c:pt idx="0">
                  <c:v>0.82</c:v>
                </c:pt>
                <c:pt idx="1">
                  <c:v>0.82</c:v>
                </c:pt>
                <c:pt idx="2">
                  <c:v>0.82</c:v>
                </c:pt>
                <c:pt idx="3">
                  <c:v>0.82</c:v>
                </c:pt>
                <c:pt idx="4">
                  <c:v>0.82</c:v>
                </c:pt>
                <c:pt idx="5">
                  <c:v>0.82</c:v>
                </c:pt>
                <c:pt idx="6">
                  <c:v>0.82</c:v>
                </c:pt>
                <c:pt idx="7">
                  <c:v>0.82</c:v>
                </c:pt>
                <c:pt idx="8">
                  <c:v>0.82078268166812329</c:v>
                </c:pt>
                <c:pt idx="9">
                  <c:v>0.87057150013201401</c:v>
                </c:pt>
                <c:pt idx="10">
                  <c:v>0.9176629354822472</c:v>
                </c:pt>
                <c:pt idx="11">
                  <c:v>0.96245300637157571</c:v>
                </c:pt>
                <c:pt idx="12">
                  <c:v>1.0052493799000692</c:v>
                </c:pt>
                <c:pt idx="13">
                  <c:v>1.0462967275611941</c:v>
                </c:pt>
                <c:pt idx="14">
                  <c:v>1.085793428061274</c:v>
                </c:pt>
                <c:pt idx="15">
                  <c:v>1.1239029738980328</c:v>
                </c:pt>
                <c:pt idx="16">
                  <c:v>1.1607620001760188</c:v>
                </c:pt>
                <c:pt idx="17">
                  <c:v>1.1964860832322377</c:v>
                </c:pt>
                <c:pt idx="18">
                  <c:v>1.231174022502185</c:v>
                </c:pt>
                <c:pt idx="19">
                  <c:v>1.264911064067352</c:v>
                </c:pt>
                <c:pt idx="20">
                  <c:v>1.2977713690461006</c:v>
                </c:pt>
                <c:pt idx="21">
                  <c:v>1.3298199324087376</c:v>
                </c:pt>
                <c:pt idx="22">
                  <c:v>1.3611140947574414</c:v>
                </c:pt>
                <c:pt idx="23">
                  <c:v>1.3917047478769189</c:v>
                </c:pt>
                <c:pt idx="24">
                  <c:v>1.4216373066218218</c:v>
                </c:pt>
                <c:pt idx="25">
                  <c:v>1.4509525002200234</c:v>
                </c:pt>
                <c:pt idx="26">
                  <c:v>1.4796870223836278</c:v>
                </c:pt>
                <c:pt idx="27">
                  <c:v>1.5078740698501039</c:v>
                </c:pt>
                <c:pt idx="28">
                  <c:v>1.5355437918998291</c:v>
                </c:pt>
                <c:pt idx="29">
                  <c:v>1.5627236682017378</c:v>
                </c:pt>
                <c:pt idx="30">
                  <c:v>1.5894388284780527</c:v>
                </c:pt>
                <c:pt idx="31">
                  <c:v>1.6157123245768332</c:v>
                </c:pt>
                <c:pt idx="32">
                  <c:v>1.6415653633362466</c:v>
                </c:pt>
                <c:pt idx="33">
                  <c:v>1.6670175069329816</c:v>
                </c:pt>
                <c:pt idx="34">
                  <c:v>1.6920868460976943</c:v>
                </c:pt>
                <c:pt idx="35">
                  <c:v>1.7167901505579042</c:v>
                </c:pt>
                <c:pt idx="36">
                  <c:v>1.741143000264028</c:v>
                </c:pt>
                <c:pt idx="37">
                  <c:v>1.7651599003161755</c:v>
                </c:pt>
                <c:pt idx="38">
                  <c:v>1.7888543819998322</c:v>
                </c:pt>
                <c:pt idx="39">
                  <c:v>1.8122390919290396</c:v>
                </c:pt>
                <c:pt idx="40">
                  <c:v>1.8353258709644944</c:v>
                </c:pt>
                <c:pt idx="41">
                  <c:v>1.8581258243045247</c:v>
                </c:pt>
                <c:pt idx="42">
                  <c:v>1.8806493839265093</c:v>
                </c:pt>
                <c:pt idx="43">
                  <c:v>1.9029063643750177</c:v>
                </c:pt>
                <c:pt idx="44">
                  <c:v>1.9249060127431514</c:v>
                </c:pt>
                <c:pt idx="45">
                  <c:v>1.9466570535691508</c:v>
                </c:pt>
                <c:pt idx="46">
                  <c:v>1.9681677292665676</c:v>
                </c:pt>
                <c:pt idx="47">
                  <c:v>1.9894458366193601</c:v>
                </c:pt>
                <c:pt idx="48">
                  <c:v>2.0104987598001385</c:v>
                </c:pt>
                <c:pt idx="49">
                  <c:v>2.0313335003080328</c:v>
                </c:pt>
                <c:pt idx="50">
                  <c:v>2.0519567041703084</c:v>
                </c:pt>
                <c:pt idx="51">
                  <c:v>2.0723746867073203</c:v>
                </c:pt>
                <c:pt idx="52">
                  <c:v>2.0925934551223881</c:v>
                </c:pt>
                <c:pt idx="53">
                  <c:v>2.1126187291456175</c:v>
                </c:pt>
                <c:pt idx="54">
                  <c:v>2.1324559599327326</c:v>
                </c:pt>
                <c:pt idx="55">
                  <c:v>2.1521103473958818</c:v>
                </c:pt>
                <c:pt idx="56">
                  <c:v>2.171586856122548</c:v>
                </c:pt>
                <c:pt idx="57">
                  <c:v>2.1908902300206643</c:v>
                </c:pt>
                <c:pt idx="58">
                  <c:v>2.2100250058123301</c:v>
                </c:pt>
                <c:pt idx="59">
                  <c:v>2.2289955254848719</c:v>
                </c:pt>
                <c:pt idx="60">
                  <c:v>2.2478059477960657</c:v>
                </c:pt>
                <c:pt idx="61">
                  <c:v>2.2664602589198775</c:v>
                </c:pt>
                <c:pt idx="62">
                  <c:v>2.2849622823099178</c:v>
                </c:pt>
                <c:pt idx="63">
                  <c:v>2.3033156878497434</c:v>
                </c:pt>
                <c:pt idx="64">
                  <c:v>2.3215240003520377</c:v>
                </c:pt>
                <c:pt idx="65">
                  <c:v>2.3395906074624073</c:v>
                </c:pt>
                <c:pt idx="66">
                  <c:v>2.3575187670180076</c:v>
                </c:pt>
                <c:pt idx="67">
                  <c:v>2.3753116139062462</c:v>
                </c:pt>
                <c:pt idx="68">
                  <c:v>2.3929721664644754</c:v>
                </c:pt>
                <c:pt idx="69">
                  <c:v>2.4105033324576577</c:v>
                </c:pt>
                <c:pt idx="70">
                  <c:v>2.4279079146675357</c:v>
                </c:pt>
                <c:pt idx="71">
                  <c:v>2.4451886161237244</c:v>
                </c:pt>
                <c:pt idx="72">
                  <c:v>2.46234804500437</c:v>
                </c:pt>
                <c:pt idx="73">
                  <c:v>2.4793887192315434</c:v>
                </c:pt>
                <c:pt idx="74">
                  <c:v>2.496313070784276</c:v>
                </c:pt>
                <c:pt idx="75">
                  <c:v>2.5131234497501733</c:v>
                </c:pt>
                <c:pt idx="76">
                  <c:v>2.529822128134704</c:v>
                </c:pt>
                <c:pt idx="77">
                  <c:v>2.5464113034456535</c:v>
                </c:pt>
                <c:pt idx="78">
                  <c:v>2.5628931020687502</c:v>
                </c:pt>
                <c:pt idx="79">
                  <c:v>2.5792695824491418</c:v>
                </c:pt>
                <c:pt idx="80">
                  <c:v>2.5955427380922012</c:v>
                </c:pt>
                <c:pt idx="81">
                  <c:v>2.6117145003960425</c:v>
                </c:pt>
                <c:pt idx="82">
                  <c:v>2.6277867413271454</c:v>
                </c:pt>
                <c:pt idx="83">
                  <c:v>2.6437612759495752</c:v>
                </c:pt>
                <c:pt idx="84">
                  <c:v>2.6596398648174753</c:v>
                </c:pt>
                <c:pt idx="85">
                  <c:v>2.675424216239755</c:v>
                </c:pt>
                <c:pt idx="86">
                  <c:v>2.7063468194295264</c:v>
                </c:pt>
                <c:pt idx="87">
                  <c:v>2.7378159684926602</c:v>
                </c:pt>
                <c:pt idx="88">
                  <c:v>2.7692851175557944</c:v>
                </c:pt>
                <c:pt idx="89">
                  <c:v>2.8007542666189282</c:v>
                </c:pt>
                <c:pt idx="90">
                  <c:v>2.8322234156820625</c:v>
                </c:pt>
                <c:pt idx="91">
                  <c:v>2.8636925647451967</c:v>
                </c:pt>
                <c:pt idx="92">
                  <c:v>2.8951617138083305</c:v>
                </c:pt>
                <c:pt idx="93">
                  <c:v>2.9266308628714648</c:v>
                </c:pt>
                <c:pt idx="94">
                  <c:v>2.9581000119345986</c:v>
                </c:pt>
                <c:pt idx="95">
                  <c:v>2.9895691609977328</c:v>
                </c:pt>
                <c:pt idx="96">
                  <c:v>3.0210383100608666</c:v>
                </c:pt>
                <c:pt idx="97">
                  <c:v>3.0525074591240009</c:v>
                </c:pt>
                <c:pt idx="98">
                  <c:v>3.0839766081871347</c:v>
                </c:pt>
                <c:pt idx="99">
                  <c:v>3.115445757250269</c:v>
                </c:pt>
                <c:pt idx="100">
                  <c:v>3.1469149063134032</c:v>
                </c:pt>
              </c:numCache>
            </c:numRef>
          </c:val>
          <c:smooth val="0"/>
        </c:ser>
        <c:ser>
          <c:idx val="2"/>
          <c:order val="2"/>
          <c:tx>
            <c:v>VIN-max</c:v>
          </c:tx>
          <c:spPr>
            <a:ln>
              <a:solidFill>
                <a:srgbClr val="FF0000"/>
              </a:solidFill>
              <a:prstDash val="solid"/>
            </a:ln>
          </c:spPr>
          <c:marker>
            <c:symbol val="none"/>
          </c:marker>
          <c:val>
            <c:numRef>
              <c:f>'Calculations - Single'!$AJ$217:$AJ$317</c:f>
              <c:numCache>
                <c:formatCode>0.000</c:formatCode>
                <c:ptCount val="101"/>
                <c:pt idx="0">
                  <c:v>0.82</c:v>
                </c:pt>
                <c:pt idx="1">
                  <c:v>0.82</c:v>
                </c:pt>
                <c:pt idx="2">
                  <c:v>0.82</c:v>
                </c:pt>
                <c:pt idx="3">
                  <c:v>0.82</c:v>
                </c:pt>
                <c:pt idx="4">
                  <c:v>0.82</c:v>
                </c:pt>
                <c:pt idx="5">
                  <c:v>0.82</c:v>
                </c:pt>
                <c:pt idx="6">
                  <c:v>0.82</c:v>
                </c:pt>
                <c:pt idx="7">
                  <c:v>0.82</c:v>
                </c:pt>
                <c:pt idx="8">
                  <c:v>0.82</c:v>
                </c:pt>
                <c:pt idx="9">
                  <c:v>0.84852813742385702</c:v>
                </c:pt>
                <c:pt idx="10">
                  <c:v>0.89442719099991608</c:v>
                </c:pt>
                <c:pt idx="11">
                  <c:v>0.93808315196468595</c:v>
                </c:pt>
                <c:pt idx="12">
                  <c:v>0.97979589711327131</c:v>
                </c:pt>
                <c:pt idx="13">
                  <c:v>1.019803902718557</c:v>
                </c:pt>
                <c:pt idx="14">
                  <c:v>1.0583005244258363</c:v>
                </c:pt>
                <c:pt idx="15">
                  <c:v>1.0954451150103321</c:v>
                </c:pt>
                <c:pt idx="16">
                  <c:v>1.131370849898476</c:v>
                </c:pt>
                <c:pt idx="17">
                  <c:v>1.1661903789690602</c:v>
                </c:pt>
                <c:pt idx="18">
                  <c:v>1.2</c:v>
                </c:pt>
                <c:pt idx="19">
                  <c:v>1.2328828005937955</c:v>
                </c:pt>
                <c:pt idx="20">
                  <c:v>1.264911064067352</c:v>
                </c:pt>
                <c:pt idx="21">
                  <c:v>1.2961481396815722</c:v>
                </c:pt>
                <c:pt idx="22">
                  <c:v>1.3266499161421601</c:v>
                </c:pt>
                <c:pt idx="23">
                  <c:v>1.3564659966250538</c:v>
                </c:pt>
                <c:pt idx="24">
                  <c:v>1.3856406460551018</c:v>
                </c:pt>
                <c:pt idx="25">
                  <c:v>1.4142135623730951</c:v>
                </c:pt>
                <c:pt idx="26">
                  <c:v>1.4422205101855958</c:v>
                </c:pt>
                <c:pt idx="27">
                  <c:v>1.4696938456699071</c:v>
                </c:pt>
                <c:pt idx="28">
                  <c:v>1.4966629547095767</c:v>
                </c:pt>
                <c:pt idx="29">
                  <c:v>1.5231546211727816</c:v>
                </c:pt>
                <c:pt idx="30">
                  <c:v>1.5491933384829668</c:v>
                </c:pt>
                <c:pt idx="31">
                  <c:v>1.5748015748023623</c:v>
                </c:pt>
                <c:pt idx="32">
                  <c:v>1.6</c:v>
                </c:pt>
                <c:pt idx="33">
                  <c:v>1.6248076809271921</c:v>
                </c:pt>
                <c:pt idx="34">
                  <c:v>1.6492422502470645</c:v>
                </c:pt>
                <c:pt idx="35">
                  <c:v>1.6733200530681511</c:v>
                </c:pt>
                <c:pt idx="36">
                  <c:v>1.697056274847714</c:v>
                </c:pt>
                <c:pt idx="37">
                  <c:v>1.7204650534085253</c:v>
                </c:pt>
                <c:pt idx="38">
                  <c:v>1.7435595774162698</c:v>
                </c:pt>
                <c:pt idx="39">
                  <c:v>1.7663521732655696</c:v>
                </c:pt>
                <c:pt idx="40">
                  <c:v>1.7888543819998322</c:v>
                </c:pt>
                <c:pt idx="41">
                  <c:v>1.8110770276274835</c:v>
                </c:pt>
                <c:pt idx="42">
                  <c:v>1.8330302779823362</c:v>
                </c:pt>
                <c:pt idx="43">
                  <c:v>1.8547236990991409</c:v>
                </c:pt>
                <c:pt idx="44">
                  <c:v>1.8761663039293719</c:v>
                </c:pt>
                <c:pt idx="45">
                  <c:v>1.8973665961010278</c:v>
                </c:pt>
                <c:pt idx="46">
                  <c:v>1.9183326093250879</c:v>
                </c:pt>
                <c:pt idx="47">
                  <c:v>1.9390719429665317</c:v>
                </c:pt>
                <c:pt idx="48">
                  <c:v>1.9595917942265426</c:v>
                </c:pt>
                <c:pt idx="49">
                  <c:v>1.9798989873223332</c:v>
                </c:pt>
                <c:pt idx="50">
                  <c:v>2</c:v>
                </c:pt>
                <c:pt idx="51">
                  <c:v>2.0199009876724157</c:v>
                </c:pt>
                <c:pt idx="52">
                  <c:v>2.0396078054371141</c:v>
                </c:pt>
                <c:pt idx="53">
                  <c:v>2.0591260281974004</c:v>
                </c:pt>
                <c:pt idx="54">
                  <c:v>2.078460969082653</c:v>
                </c:pt>
                <c:pt idx="55">
                  <c:v>2.0976176963403033</c:v>
                </c:pt>
                <c:pt idx="56">
                  <c:v>2.1166010488516727</c:v>
                </c:pt>
                <c:pt idx="57">
                  <c:v>2.1354156504062622</c:v>
                </c:pt>
                <c:pt idx="58">
                  <c:v>2.1540659228538015</c:v>
                </c:pt>
                <c:pt idx="59">
                  <c:v>2.1725560982400429</c:v>
                </c:pt>
                <c:pt idx="60">
                  <c:v>2.1908902300206643</c:v>
                </c:pt>
                <c:pt idx="61">
                  <c:v>2.2090722034374521</c:v>
                </c:pt>
                <c:pt idx="62">
                  <c:v>2.2271057451320089</c:v>
                </c:pt>
                <c:pt idx="63">
                  <c:v>2.2449944320643649</c:v>
                </c:pt>
                <c:pt idx="64">
                  <c:v>2.2627416997969521</c:v>
                </c:pt>
                <c:pt idx="65">
                  <c:v>2.2803508501982761</c:v>
                </c:pt>
                <c:pt idx="66">
                  <c:v>2.2978250586152114</c:v>
                </c:pt>
                <c:pt idx="67">
                  <c:v>2.3151673805580453</c:v>
                </c:pt>
                <c:pt idx="68">
                  <c:v>2.3323807579381204</c:v>
                </c:pt>
                <c:pt idx="69">
                  <c:v>2.3494680248941462</c:v>
                </c:pt>
                <c:pt idx="70">
                  <c:v>2.3664319132398464</c:v>
                </c:pt>
                <c:pt idx="71">
                  <c:v>2.3832750575625967</c:v>
                </c:pt>
                <c:pt idx="72">
                  <c:v>2.4</c:v>
                </c:pt>
                <c:pt idx="73">
                  <c:v>2.4166091947189146</c:v>
                </c:pt>
                <c:pt idx="74">
                  <c:v>2.4331050121192876</c:v>
                </c:pt>
                <c:pt idx="75">
                  <c:v>2.4494897427831783</c:v>
                </c:pt>
                <c:pt idx="76">
                  <c:v>2.465765601187591</c:v>
                </c:pt>
                <c:pt idx="77">
                  <c:v>2.4819347291981715</c:v>
                </c:pt>
                <c:pt idx="78">
                  <c:v>2.4979991993593598</c:v>
                </c:pt>
                <c:pt idx="79">
                  <c:v>2.5139610179953071</c:v>
                </c:pt>
                <c:pt idx="80">
                  <c:v>2.529822128134704</c:v>
                </c:pt>
                <c:pt idx="81">
                  <c:v>2.5455844122715714</c:v>
                </c:pt>
                <c:pt idx="82">
                  <c:v>2.5612496949731396</c:v>
                </c:pt>
                <c:pt idx="83">
                  <c:v>2.5768197453450252</c:v>
                </c:pt>
                <c:pt idx="84">
                  <c:v>2.5922962793631443</c:v>
                </c:pt>
                <c:pt idx="85">
                  <c:v>2.6076809620810595</c:v>
                </c:pt>
                <c:pt idx="86">
                  <c:v>2.6229754097208002</c:v>
                </c:pt>
                <c:pt idx="87">
                  <c:v>2.6381811916545841</c:v>
                </c:pt>
                <c:pt idx="88">
                  <c:v>2.6532998322843202</c:v>
                </c:pt>
                <c:pt idx="89">
                  <c:v>2.668332812825267</c:v>
                </c:pt>
                <c:pt idx="90">
                  <c:v>2.6832815729997477</c:v>
                </c:pt>
                <c:pt idx="91">
                  <c:v>2.6981475126464085</c:v>
                </c:pt>
                <c:pt idx="92">
                  <c:v>2.7129319932501077</c:v>
                </c:pt>
                <c:pt idx="93">
                  <c:v>2.7276363393971712</c:v>
                </c:pt>
                <c:pt idx="94">
                  <c:v>2.7422618401604177</c:v>
                </c:pt>
                <c:pt idx="95">
                  <c:v>2.7568097504180447</c:v>
                </c:pt>
                <c:pt idx="96">
                  <c:v>2.7712812921102037</c:v>
                </c:pt>
                <c:pt idx="97">
                  <c:v>2.7856776554368241</c:v>
                </c:pt>
                <c:pt idx="98">
                  <c:v>2.8000000000000003</c:v>
                </c:pt>
                <c:pt idx="99">
                  <c:v>2.8142494558940578</c:v>
                </c:pt>
                <c:pt idx="100">
                  <c:v>2.8284271247461903</c:v>
                </c:pt>
              </c:numCache>
            </c:numRef>
          </c:val>
          <c:smooth val="0"/>
        </c:ser>
        <c:dLbls>
          <c:showLegendKey val="0"/>
          <c:showVal val="0"/>
          <c:showCatName val="0"/>
          <c:showSerName val="0"/>
          <c:showPercent val="0"/>
          <c:showBubbleSize val="0"/>
        </c:dLbls>
        <c:marker val="1"/>
        <c:smooth val="0"/>
        <c:axId val="139987968"/>
        <c:axId val="139990144"/>
      </c:lineChart>
      <c:catAx>
        <c:axId val="139987968"/>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39990144"/>
        <c:crosses val="autoZero"/>
        <c:auto val="1"/>
        <c:lblAlgn val="ctr"/>
        <c:lblOffset val="100"/>
        <c:tickLblSkip val="20"/>
        <c:tickMarkSkip val="10"/>
        <c:noMultiLvlLbl val="0"/>
      </c:catAx>
      <c:valAx>
        <c:axId val="139990144"/>
        <c:scaling>
          <c:orientation val="minMax"/>
          <c:max val="1.4"/>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Peak</a:t>
                </a:r>
                <a:r>
                  <a:rPr lang="en-US" sz="1200" b="1" baseline="0">
                    <a:solidFill>
                      <a:schemeClr val="tx1"/>
                    </a:solidFill>
                    <a:latin typeface="Arial" pitchFamily="34" charset="0"/>
                    <a:cs typeface="Arial" pitchFamily="34" charset="0"/>
                  </a:rPr>
                  <a:t> Primary Current (A)</a:t>
                </a:r>
                <a:endParaRPr lang="en-US" sz="1200" b="1">
                  <a:solidFill>
                    <a:schemeClr val="tx1"/>
                  </a:solidFill>
                  <a:latin typeface="Arial" pitchFamily="34" charset="0"/>
                  <a:cs typeface="Arial" pitchFamily="34" charset="0"/>
                </a:endParaRPr>
              </a:p>
            </c:rich>
          </c:tx>
          <c:layout>
            <c:manualLayout>
              <c:xMode val="edge"/>
              <c:yMode val="edge"/>
              <c:x val="1.8892754684734177E-2"/>
              <c:y val="0.30303578260037478"/>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39987968"/>
        <c:crossesAt val="0"/>
        <c:crossBetween val="between"/>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cat>
            <c:numRef>
              <c:f>'Calculations - Single'!$F$5:$F$105</c:f>
              <c:numCache>
                <c:formatCode>0.000</c:formatCode>
                <c:ptCount val="101"/>
                <c:pt idx="0">
                  <c:v>1.0000000000000001E-9</c:v>
                </c:pt>
                <c:pt idx="1">
                  <c:v>8.0000000000000002E-3</c:v>
                </c:pt>
                <c:pt idx="2">
                  <c:v>1.6E-2</c:v>
                </c:pt>
                <c:pt idx="3">
                  <c:v>2.4E-2</c:v>
                </c:pt>
                <c:pt idx="4">
                  <c:v>3.2000000000000001E-2</c:v>
                </c:pt>
                <c:pt idx="5">
                  <c:v>4.0000000000000008E-2</c:v>
                </c:pt>
                <c:pt idx="6">
                  <c:v>4.8000000000000001E-2</c:v>
                </c:pt>
                <c:pt idx="7">
                  <c:v>5.6000000000000008E-2</c:v>
                </c:pt>
                <c:pt idx="8">
                  <c:v>6.4000000000000001E-2</c:v>
                </c:pt>
                <c:pt idx="9">
                  <c:v>7.1999999999999995E-2</c:v>
                </c:pt>
                <c:pt idx="10">
                  <c:v>8.0000000000000016E-2</c:v>
                </c:pt>
                <c:pt idx="11">
                  <c:v>8.8000000000000009E-2</c:v>
                </c:pt>
                <c:pt idx="12">
                  <c:v>9.6000000000000002E-2</c:v>
                </c:pt>
                <c:pt idx="13">
                  <c:v>0.10400000000000001</c:v>
                </c:pt>
                <c:pt idx="14">
                  <c:v>0.11200000000000002</c:v>
                </c:pt>
                <c:pt idx="15">
                  <c:v>0.12</c:v>
                </c:pt>
                <c:pt idx="16">
                  <c:v>0.128</c:v>
                </c:pt>
                <c:pt idx="17">
                  <c:v>0.13600000000000001</c:v>
                </c:pt>
                <c:pt idx="18">
                  <c:v>0.14399999999999999</c:v>
                </c:pt>
                <c:pt idx="19">
                  <c:v>0.15200000000000002</c:v>
                </c:pt>
                <c:pt idx="20">
                  <c:v>0.16000000000000003</c:v>
                </c:pt>
                <c:pt idx="21">
                  <c:v>0.16800000000000001</c:v>
                </c:pt>
                <c:pt idx="22">
                  <c:v>0.17600000000000002</c:v>
                </c:pt>
                <c:pt idx="23">
                  <c:v>0.18400000000000002</c:v>
                </c:pt>
                <c:pt idx="24">
                  <c:v>0.192</c:v>
                </c:pt>
                <c:pt idx="25">
                  <c:v>0.2</c:v>
                </c:pt>
                <c:pt idx="26">
                  <c:v>0.20800000000000002</c:v>
                </c:pt>
                <c:pt idx="27">
                  <c:v>0.21600000000000003</c:v>
                </c:pt>
                <c:pt idx="28">
                  <c:v>0.22400000000000003</c:v>
                </c:pt>
                <c:pt idx="29">
                  <c:v>0.23199999999999998</c:v>
                </c:pt>
                <c:pt idx="30">
                  <c:v>0.24</c:v>
                </c:pt>
                <c:pt idx="31">
                  <c:v>0.248</c:v>
                </c:pt>
                <c:pt idx="32">
                  <c:v>0.25600000000000001</c:v>
                </c:pt>
                <c:pt idx="33">
                  <c:v>0.26400000000000001</c:v>
                </c:pt>
                <c:pt idx="34">
                  <c:v>0.27200000000000002</c:v>
                </c:pt>
                <c:pt idx="35">
                  <c:v>0.27999999999999997</c:v>
                </c:pt>
                <c:pt idx="36">
                  <c:v>0.28799999999999998</c:v>
                </c:pt>
                <c:pt idx="37">
                  <c:v>0.29599999999999999</c:v>
                </c:pt>
                <c:pt idx="38">
                  <c:v>0.30400000000000005</c:v>
                </c:pt>
                <c:pt idx="39">
                  <c:v>0.31200000000000006</c:v>
                </c:pt>
                <c:pt idx="40">
                  <c:v>0.32000000000000006</c:v>
                </c:pt>
                <c:pt idx="41">
                  <c:v>0.32800000000000001</c:v>
                </c:pt>
                <c:pt idx="42">
                  <c:v>0.33600000000000002</c:v>
                </c:pt>
                <c:pt idx="43">
                  <c:v>0.34400000000000003</c:v>
                </c:pt>
                <c:pt idx="44">
                  <c:v>0.35200000000000004</c:v>
                </c:pt>
                <c:pt idx="45">
                  <c:v>0.36000000000000004</c:v>
                </c:pt>
                <c:pt idx="46">
                  <c:v>0.36800000000000005</c:v>
                </c:pt>
                <c:pt idx="47">
                  <c:v>0.376</c:v>
                </c:pt>
                <c:pt idx="48">
                  <c:v>0.38400000000000001</c:v>
                </c:pt>
                <c:pt idx="49">
                  <c:v>0.39200000000000002</c:v>
                </c:pt>
                <c:pt idx="50">
                  <c:v>0.4</c:v>
                </c:pt>
                <c:pt idx="51">
                  <c:v>0.40800000000000003</c:v>
                </c:pt>
                <c:pt idx="52">
                  <c:v>0.41600000000000004</c:v>
                </c:pt>
                <c:pt idx="53">
                  <c:v>0.42400000000000004</c:v>
                </c:pt>
                <c:pt idx="54">
                  <c:v>0.43200000000000005</c:v>
                </c:pt>
                <c:pt idx="55">
                  <c:v>0.44000000000000006</c:v>
                </c:pt>
                <c:pt idx="56">
                  <c:v>0.44800000000000006</c:v>
                </c:pt>
                <c:pt idx="57">
                  <c:v>0.45599999999999996</c:v>
                </c:pt>
                <c:pt idx="58">
                  <c:v>0.46399999999999997</c:v>
                </c:pt>
                <c:pt idx="59">
                  <c:v>0.47199999999999998</c:v>
                </c:pt>
                <c:pt idx="60">
                  <c:v>0.48</c:v>
                </c:pt>
                <c:pt idx="61">
                  <c:v>0.48799999999999999</c:v>
                </c:pt>
                <c:pt idx="62">
                  <c:v>0.496</c:v>
                </c:pt>
                <c:pt idx="63">
                  <c:v>0.504</c:v>
                </c:pt>
                <c:pt idx="64">
                  <c:v>0.51200000000000001</c:v>
                </c:pt>
                <c:pt idx="65">
                  <c:v>0.52</c:v>
                </c:pt>
                <c:pt idx="66">
                  <c:v>0.52800000000000002</c:v>
                </c:pt>
                <c:pt idx="67">
                  <c:v>0.53600000000000003</c:v>
                </c:pt>
                <c:pt idx="68">
                  <c:v>0.54400000000000004</c:v>
                </c:pt>
                <c:pt idx="69">
                  <c:v>0.55199999999999994</c:v>
                </c:pt>
                <c:pt idx="70">
                  <c:v>0.55999999999999994</c:v>
                </c:pt>
                <c:pt idx="71">
                  <c:v>0.56799999999999995</c:v>
                </c:pt>
                <c:pt idx="72">
                  <c:v>0.57599999999999996</c:v>
                </c:pt>
                <c:pt idx="73">
                  <c:v>0.58399999999999996</c:v>
                </c:pt>
                <c:pt idx="74">
                  <c:v>0.59199999999999997</c:v>
                </c:pt>
                <c:pt idx="75">
                  <c:v>0.60000000000000009</c:v>
                </c:pt>
                <c:pt idx="76">
                  <c:v>0.6080000000000001</c:v>
                </c:pt>
                <c:pt idx="77">
                  <c:v>0.6160000000000001</c:v>
                </c:pt>
                <c:pt idx="78">
                  <c:v>0.62400000000000011</c:v>
                </c:pt>
                <c:pt idx="79">
                  <c:v>0.63200000000000012</c:v>
                </c:pt>
                <c:pt idx="80">
                  <c:v>0.64000000000000012</c:v>
                </c:pt>
                <c:pt idx="81">
                  <c:v>0.64800000000000013</c:v>
                </c:pt>
                <c:pt idx="82">
                  <c:v>0.65600000000000003</c:v>
                </c:pt>
                <c:pt idx="83">
                  <c:v>0.66400000000000003</c:v>
                </c:pt>
                <c:pt idx="84">
                  <c:v>0.67200000000000004</c:v>
                </c:pt>
                <c:pt idx="85">
                  <c:v>0.68</c:v>
                </c:pt>
                <c:pt idx="86">
                  <c:v>0.68800000000000006</c:v>
                </c:pt>
                <c:pt idx="87">
                  <c:v>0.69600000000000006</c:v>
                </c:pt>
                <c:pt idx="88">
                  <c:v>0.70400000000000007</c:v>
                </c:pt>
                <c:pt idx="89">
                  <c:v>0.71200000000000008</c:v>
                </c:pt>
                <c:pt idx="90">
                  <c:v>0.72000000000000008</c:v>
                </c:pt>
                <c:pt idx="91">
                  <c:v>0.72800000000000009</c:v>
                </c:pt>
                <c:pt idx="92">
                  <c:v>0.7360000000000001</c:v>
                </c:pt>
                <c:pt idx="93">
                  <c:v>0.74400000000000011</c:v>
                </c:pt>
                <c:pt idx="94">
                  <c:v>0.752</c:v>
                </c:pt>
                <c:pt idx="95">
                  <c:v>0.76</c:v>
                </c:pt>
                <c:pt idx="96">
                  <c:v>0.76800000000000002</c:v>
                </c:pt>
                <c:pt idx="97">
                  <c:v>0.77600000000000002</c:v>
                </c:pt>
                <c:pt idx="98">
                  <c:v>0.78400000000000003</c:v>
                </c:pt>
                <c:pt idx="99">
                  <c:v>0.79200000000000004</c:v>
                </c:pt>
                <c:pt idx="100">
                  <c:v>0.8</c:v>
                </c:pt>
              </c:numCache>
            </c:numRef>
          </c:cat>
          <c:val>
            <c:numRef>
              <c:f>'Calculations - Single'!$AN$110:$AN$210</c:f>
              <c:numCache>
                <c:formatCode>0.0</c:formatCode>
                <c:ptCount val="101"/>
                <c:pt idx="0">
                  <c:v>12</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345.94015413652079</c:v>
                </c:pt>
                <c:pt idx="56">
                  <c:v>339.76265138408286</c:v>
                </c:pt>
                <c:pt idx="57">
                  <c:v>333.8019031141867</c:v>
                </c:pt>
                <c:pt idx="58">
                  <c:v>328.04669788808013</c:v>
                </c:pt>
                <c:pt idx="59">
                  <c:v>322.48658436455332</c:v>
                </c:pt>
                <c:pt idx="60">
                  <c:v>317.11180795847747</c:v>
                </c:pt>
                <c:pt idx="61">
                  <c:v>311.91325372964997</c:v>
                </c:pt>
                <c:pt idx="62">
                  <c:v>306.8823947985266</c:v>
                </c:pt>
                <c:pt idx="63">
                  <c:v>302.01124567474045</c:v>
                </c:pt>
                <c:pt idx="64">
                  <c:v>297.29231996107256</c:v>
                </c:pt>
                <c:pt idx="65">
                  <c:v>292.71859196167151</c:v>
                </c:pt>
                <c:pt idx="66">
                  <c:v>288.2834617804341</c:v>
                </c:pt>
                <c:pt idx="67">
                  <c:v>283.98072354490517</c:v>
                </c:pt>
                <c:pt idx="68">
                  <c:v>279.80453643395066</c:v>
                </c:pt>
                <c:pt idx="69">
                  <c:v>275.74939822476307</c:v>
                </c:pt>
                <c:pt idx="70">
                  <c:v>271.81012110726641</c:v>
                </c:pt>
                <c:pt idx="71">
                  <c:v>267.98180954237534</c:v>
                </c:pt>
                <c:pt idx="72">
                  <c:v>264.25983996539793</c:v>
                </c:pt>
                <c:pt idx="73">
                  <c:v>260.63984215765271</c:v>
                </c:pt>
                <c:pt idx="74">
                  <c:v>257.11768212849523</c:v>
                </c:pt>
                <c:pt idx="75">
                  <c:v>253.68944636678188</c:v>
                </c:pt>
                <c:pt idx="76">
                  <c:v>250.35142733564004</c:v>
                </c:pt>
                <c:pt idx="77">
                  <c:v>247.1001100975148</c:v>
                </c:pt>
                <c:pt idx="78">
                  <c:v>243.93215996805955</c:v>
                </c:pt>
                <c:pt idx="79">
                  <c:v>240.8444111077043</c:v>
                </c:pt>
                <c:pt idx="80">
                  <c:v>237.83385596885805</c:v>
                </c:pt>
                <c:pt idx="81">
                  <c:v>234.89763552479809</c:v>
                </c:pt>
                <c:pt idx="82">
                  <c:v>232.03303021352008</c:v>
                </c:pt>
                <c:pt idx="83">
                  <c:v>229.23745153624881</c:v>
                </c:pt>
                <c:pt idx="84">
                  <c:v>226.50843425605535</c:v>
                </c:pt>
                <c:pt idx="85">
                  <c:v>223.84362914716053</c:v>
                </c:pt>
                <c:pt idx="86">
                  <c:v>221.24079625010057</c:v>
                </c:pt>
                <c:pt idx="87">
                  <c:v>218.69779859205343</c:v>
                </c:pt>
                <c:pt idx="88">
                  <c:v>216.21259633532551</c:v>
                </c:pt>
                <c:pt idx="89">
                  <c:v>213.78324132032188</c:v>
                </c:pt>
                <c:pt idx="90">
                  <c:v>211.4078719723183</c:v>
                </c:pt>
                <c:pt idx="91">
                  <c:v>209.08470854405107</c:v>
                </c:pt>
                <c:pt idx="92">
                  <c:v>206.81204866857223</c:v>
                </c:pt>
                <c:pt idx="93">
                  <c:v>204.58826319901766</c:v>
                </c:pt>
                <c:pt idx="94">
                  <c:v>202.41179231392175</c:v>
                </c:pt>
                <c:pt idx="95">
                  <c:v>200.28114186851204</c:v>
                </c:pt>
                <c:pt idx="96">
                  <c:v>198.19487997404835</c:v>
                </c:pt>
                <c:pt idx="97">
                  <c:v>196.15163378874891</c:v>
                </c:pt>
                <c:pt idx="98">
                  <c:v>194.15008650519025</c:v>
                </c:pt>
                <c:pt idx="99">
                  <c:v>192.18897452028935</c:v>
                </c:pt>
                <c:pt idx="100">
                  <c:v>190.26708477508643</c:v>
                </c:pt>
              </c:numCache>
            </c:numRef>
          </c:val>
          <c:smooth val="0"/>
        </c:ser>
        <c:ser>
          <c:idx val="0"/>
          <c:order val="1"/>
          <c:tx>
            <c:v>VIN-nom</c:v>
          </c:tx>
          <c:spPr>
            <a:ln w="28575">
              <a:solidFill>
                <a:srgbClr val="FF0000"/>
              </a:solidFill>
              <a:prstDash val="lgDash"/>
            </a:ln>
          </c:spPr>
          <c:marker>
            <c:symbol val="none"/>
          </c:marker>
          <c:cat>
            <c:numRef>
              <c:f>'Calculations - Single'!$F$5:$F$105</c:f>
              <c:numCache>
                <c:formatCode>0.000</c:formatCode>
                <c:ptCount val="101"/>
                <c:pt idx="0">
                  <c:v>1.0000000000000001E-9</c:v>
                </c:pt>
                <c:pt idx="1">
                  <c:v>8.0000000000000002E-3</c:v>
                </c:pt>
                <c:pt idx="2">
                  <c:v>1.6E-2</c:v>
                </c:pt>
                <c:pt idx="3">
                  <c:v>2.4E-2</c:v>
                </c:pt>
                <c:pt idx="4">
                  <c:v>3.2000000000000001E-2</c:v>
                </c:pt>
                <c:pt idx="5">
                  <c:v>4.0000000000000008E-2</c:v>
                </c:pt>
                <c:pt idx="6">
                  <c:v>4.8000000000000001E-2</c:v>
                </c:pt>
                <c:pt idx="7">
                  <c:v>5.6000000000000008E-2</c:v>
                </c:pt>
                <c:pt idx="8">
                  <c:v>6.4000000000000001E-2</c:v>
                </c:pt>
                <c:pt idx="9">
                  <c:v>7.1999999999999995E-2</c:v>
                </c:pt>
                <c:pt idx="10">
                  <c:v>8.0000000000000016E-2</c:v>
                </c:pt>
                <c:pt idx="11">
                  <c:v>8.8000000000000009E-2</c:v>
                </c:pt>
                <c:pt idx="12">
                  <c:v>9.6000000000000002E-2</c:v>
                </c:pt>
                <c:pt idx="13">
                  <c:v>0.10400000000000001</c:v>
                </c:pt>
                <c:pt idx="14">
                  <c:v>0.11200000000000002</c:v>
                </c:pt>
                <c:pt idx="15">
                  <c:v>0.12</c:v>
                </c:pt>
                <c:pt idx="16">
                  <c:v>0.128</c:v>
                </c:pt>
                <c:pt idx="17">
                  <c:v>0.13600000000000001</c:v>
                </c:pt>
                <c:pt idx="18">
                  <c:v>0.14399999999999999</c:v>
                </c:pt>
                <c:pt idx="19">
                  <c:v>0.15200000000000002</c:v>
                </c:pt>
                <c:pt idx="20">
                  <c:v>0.16000000000000003</c:v>
                </c:pt>
                <c:pt idx="21">
                  <c:v>0.16800000000000001</c:v>
                </c:pt>
                <c:pt idx="22">
                  <c:v>0.17600000000000002</c:v>
                </c:pt>
                <c:pt idx="23">
                  <c:v>0.18400000000000002</c:v>
                </c:pt>
                <c:pt idx="24">
                  <c:v>0.192</c:v>
                </c:pt>
                <c:pt idx="25">
                  <c:v>0.2</c:v>
                </c:pt>
                <c:pt idx="26">
                  <c:v>0.20800000000000002</c:v>
                </c:pt>
                <c:pt idx="27">
                  <c:v>0.21600000000000003</c:v>
                </c:pt>
                <c:pt idx="28">
                  <c:v>0.22400000000000003</c:v>
                </c:pt>
                <c:pt idx="29">
                  <c:v>0.23199999999999998</c:v>
                </c:pt>
                <c:pt idx="30">
                  <c:v>0.24</c:v>
                </c:pt>
                <c:pt idx="31">
                  <c:v>0.248</c:v>
                </c:pt>
                <c:pt idx="32">
                  <c:v>0.25600000000000001</c:v>
                </c:pt>
                <c:pt idx="33">
                  <c:v>0.26400000000000001</c:v>
                </c:pt>
                <c:pt idx="34">
                  <c:v>0.27200000000000002</c:v>
                </c:pt>
                <c:pt idx="35">
                  <c:v>0.27999999999999997</c:v>
                </c:pt>
                <c:pt idx="36">
                  <c:v>0.28799999999999998</c:v>
                </c:pt>
                <c:pt idx="37">
                  <c:v>0.29599999999999999</c:v>
                </c:pt>
                <c:pt idx="38">
                  <c:v>0.30400000000000005</c:v>
                </c:pt>
                <c:pt idx="39">
                  <c:v>0.31200000000000006</c:v>
                </c:pt>
                <c:pt idx="40">
                  <c:v>0.32000000000000006</c:v>
                </c:pt>
                <c:pt idx="41">
                  <c:v>0.32800000000000001</c:v>
                </c:pt>
                <c:pt idx="42">
                  <c:v>0.33600000000000002</c:v>
                </c:pt>
                <c:pt idx="43">
                  <c:v>0.34400000000000003</c:v>
                </c:pt>
                <c:pt idx="44">
                  <c:v>0.35200000000000004</c:v>
                </c:pt>
                <c:pt idx="45">
                  <c:v>0.36000000000000004</c:v>
                </c:pt>
                <c:pt idx="46">
                  <c:v>0.36800000000000005</c:v>
                </c:pt>
                <c:pt idx="47">
                  <c:v>0.376</c:v>
                </c:pt>
                <c:pt idx="48">
                  <c:v>0.38400000000000001</c:v>
                </c:pt>
                <c:pt idx="49">
                  <c:v>0.39200000000000002</c:v>
                </c:pt>
                <c:pt idx="50">
                  <c:v>0.4</c:v>
                </c:pt>
                <c:pt idx="51">
                  <c:v>0.40800000000000003</c:v>
                </c:pt>
                <c:pt idx="52">
                  <c:v>0.41600000000000004</c:v>
                </c:pt>
                <c:pt idx="53">
                  <c:v>0.42400000000000004</c:v>
                </c:pt>
                <c:pt idx="54">
                  <c:v>0.43200000000000005</c:v>
                </c:pt>
                <c:pt idx="55">
                  <c:v>0.44000000000000006</c:v>
                </c:pt>
                <c:pt idx="56">
                  <c:v>0.44800000000000006</c:v>
                </c:pt>
                <c:pt idx="57">
                  <c:v>0.45599999999999996</c:v>
                </c:pt>
                <c:pt idx="58">
                  <c:v>0.46399999999999997</c:v>
                </c:pt>
                <c:pt idx="59">
                  <c:v>0.47199999999999998</c:v>
                </c:pt>
                <c:pt idx="60">
                  <c:v>0.48</c:v>
                </c:pt>
                <c:pt idx="61">
                  <c:v>0.48799999999999999</c:v>
                </c:pt>
                <c:pt idx="62">
                  <c:v>0.496</c:v>
                </c:pt>
                <c:pt idx="63">
                  <c:v>0.504</c:v>
                </c:pt>
                <c:pt idx="64">
                  <c:v>0.51200000000000001</c:v>
                </c:pt>
                <c:pt idx="65">
                  <c:v>0.52</c:v>
                </c:pt>
                <c:pt idx="66">
                  <c:v>0.52800000000000002</c:v>
                </c:pt>
                <c:pt idx="67">
                  <c:v>0.53600000000000003</c:v>
                </c:pt>
                <c:pt idx="68">
                  <c:v>0.54400000000000004</c:v>
                </c:pt>
                <c:pt idx="69">
                  <c:v>0.55199999999999994</c:v>
                </c:pt>
                <c:pt idx="70">
                  <c:v>0.55999999999999994</c:v>
                </c:pt>
                <c:pt idx="71">
                  <c:v>0.56799999999999995</c:v>
                </c:pt>
                <c:pt idx="72">
                  <c:v>0.57599999999999996</c:v>
                </c:pt>
                <c:pt idx="73">
                  <c:v>0.58399999999999996</c:v>
                </c:pt>
                <c:pt idx="74">
                  <c:v>0.59199999999999997</c:v>
                </c:pt>
                <c:pt idx="75">
                  <c:v>0.60000000000000009</c:v>
                </c:pt>
                <c:pt idx="76">
                  <c:v>0.6080000000000001</c:v>
                </c:pt>
                <c:pt idx="77">
                  <c:v>0.6160000000000001</c:v>
                </c:pt>
                <c:pt idx="78">
                  <c:v>0.62400000000000011</c:v>
                </c:pt>
                <c:pt idx="79">
                  <c:v>0.63200000000000012</c:v>
                </c:pt>
                <c:pt idx="80">
                  <c:v>0.64000000000000012</c:v>
                </c:pt>
                <c:pt idx="81">
                  <c:v>0.64800000000000013</c:v>
                </c:pt>
                <c:pt idx="82">
                  <c:v>0.65600000000000003</c:v>
                </c:pt>
                <c:pt idx="83">
                  <c:v>0.66400000000000003</c:v>
                </c:pt>
                <c:pt idx="84">
                  <c:v>0.67200000000000004</c:v>
                </c:pt>
                <c:pt idx="85">
                  <c:v>0.68</c:v>
                </c:pt>
                <c:pt idx="86">
                  <c:v>0.68800000000000006</c:v>
                </c:pt>
                <c:pt idx="87">
                  <c:v>0.69600000000000006</c:v>
                </c:pt>
                <c:pt idx="88">
                  <c:v>0.70400000000000007</c:v>
                </c:pt>
                <c:pt idx="89">
                  <c:v>0.71200000000000008</c:v>
                </c:pt>
                <c:pt idx="90">
                  <c:v>0.72000000000000008</c:v>
                </c:pt>
                <c:pt idx="91">
                  <c:v>0.72800000000000009</c:v>
                </c:pt>
                <c:pt idx="92">
                  <c:v>0.7360000000000001</c:v>
                </c:pt>
                <c:pt idx="93">
                  <c:v>0.74400000000000011</c:v>
                </c:pt>
                <c:pt idx="94">
                  <c:v>0.752</c:v>
                </c:pt>
                <c:pt idx="95">
                  <c:v>0.76</c:v>
                </c:pt>
                <c:pt idx="96">
                  <c:v>0.76800000000000002</c:v>
                </c:pt>
                <c:pt idx="97">
                  <c:v>0.77600000000000002</c:v>
                </c:pt>
                <c:pt idx="98">
                  <c:v>0.78400000000000003</c:v>
                </c:pt>
                <c:pt idx="99">
                  <c:v>0.79200000000000004</c:v>
                </c:pt>
                <c:pt idx="100">
                  <c:v>0.8</c:v>
                </c:pt>
              </c:numCache>
            </c:numRef>
          </c:cat>
          <c:val>
            <c:numRef>
              <c:f>'Calculations - Single'!$AN$5:$AN$105</c:f>
              <c:numCache>
                <c:formatCode>0.0</c:formatCode>
                <c:ptCount val="101"/>
                <c:pt idx="0">
                  <c:v>12</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347.08056691252716</c:v>
                </c:pt>
                <c:pt idx="85">
                  <c:v>342.99726612532089</c:v>
                </c:pt>
                <c:pt idx="86">
                  <c:v>339.00892582153801</c:v>
                </c:pt>
                <c:pt idx="87">
                  <c:v>335.11227150175034</c:v>
                </c:pt>
                <c:pt idx="88">
                  <c:v>331.30417750741219</c:v>
                </c:pt>
                <c:pt idx="89">
                  <c:v>327.58165865901435</c:v>
                </c:pt>
                <c:pt idx="90">
                  <c:v>323.94186245169192</c:v>
                </c:pt>
                <c:pt idx="91">
                  <c:v>320.38206176540962</c:v>
                </c:pt>
                <c:pt idx="92">
                  <c:v>316.8996480505682</c:v>
                </c:pt>
                <c:pt idx="93">
                  <c:v>313.49212495325025</c:v>
                </c:pt>
                <c:pt idx="94">
                  <c:v>310.15710234736463</c:v>
                </c:pt>
                <c:pt idx="95">
                  <c:v>306.89229074370803</c:v>
                </c:pt>
                <c:pt idx="96">
                  <c:v>303.69549604846117</c:v>
                </c:pt>
                <c:pt idx="97">
                  <c:v>300.56461464589967</c:v>
                </c:pt>
                <c:pt idx="98">
                  <c:v>297.49762878216609</c:v>
                </c:pt>
                <c:pt idx="99">
                  <c:v>294.49260222881082</c:v>
                </c:pt>
                <c:pt idx="100">
                  <c:v>291.54767620652274</c:v>
                </c:pt>
              </c:numCache>
            </c:numRef>
          </c:val>
          <c:smooth val="0"/>
        </c:ser>
        <c:ser>
          <c:idx val="2"/>
          <c:order val="2"/>
          <c:tx>
            <c:v>VIN-max</c:v>
          </c:tx>
          <c:spPr>
            <a:ln>
              <a:solidFill>
                <a:srgbClr val="0000FF"/>
              </a:solidFill>
              <a:prstDash val="solid"/>
            </a:ln>
          </c:spPr>
          <c:marker>
            <c:symbol val="none"/>
          </c:marker>
          <c:cat>
            <c:numRef>
              <c:f>'Calculations - Single'!$F$5:$F$105</c:f>
              <c:numCache>
                <c:formatCode>0.000</c:formatCode>
                <c:ptCount val="101"/>
                <c:pt idx="0">
                  <c:v>1.0000000000000001E-9</c:v>
                </c:pt>
                <c:pt idx="1">
                  <c:v>8.0000000000000002E-3</c:v>
                </c:pt>
                <c:pt idx="2">
                  <c:v>1.6E-2</c:v>
                </c:pt>
                <c:pt idx="3">
                  <c:v>2.4E-2</c:v>
                </c:pt>
                <c:pt idx="4">
                  <c:v>3.2000000000000001E-2</c:v>
                </c:pt>
                <c:pt idx="5">
                  <c:v>4.0000000000000008E-2</c:v>
                </c:pt>
                <c:pt idx="6">
                  <c:v>4.8000000000000001E-2</c:v>
                </c:pt>
                <c:pt idx="7">
                  <c:v>5.6000000000000008E-2</c:v>
                </c:pt>
                <c:pt idx="8">
                  <c:v>6.4000000000000001E-2</c:v>
                </c:pt>
                <c:pt idx="9">
                  <c:v>7.1999999999999995E-2</c:v>
                </c:pt>
                <c:pt idx="10">
                  <c:v>8.0000000000000016E-2</c:v>
                </c:pt>
                <c:pt idx="11">
                  <c:v>8.8000000000000009E-2</c:v>
                </c:pt>
                <c:pt idx="12">
                  <c:v>9.6000000000000002E-2</c:v>
                </c:pt>
                <c:pt idx="13">
                  <c:v>0.10400000000000001</c:v>
                </c:pt>
                <c:pt idx="14">
                  <c:v>0.11200000000000002</c:v>
                </c:pt>
                <c:pt idx="15">
                  <c:v>0.12</c:v>
                </c:pt>
                <c:pt idx="16">
                  <c:v>0.128</c:v>
                </c:pt>
                <c:pt idx="17">
                  <c:v>0.13600000000000001</c:v>
                </c:pt>
                <c:pt idx="18">
                  <c:v>0.14399999999999999</c:v>
                </c:pt>
                <c:pt idx="19">
                  <c:v>0.15200000000000002</c:v>
                </c:pt>
                <c:pt idx="20">
                  <c:v>0.16000000000000003</c:v>
                </c:pt>
                <c:pt idx="21">
                  <c:v>0.16800000000000001</c:v>
                </c:pt>
                <c:pt idx="22">
                  <c:v>0.17600000000000002</c:v>
                </c:pt>
                <c:pt idx="23">
                  <c:v>0.18400000000000002</c:v>
                </c:pt>
                <c:pt idx="24">
                  <c:v>0.192</c:v>
                </c:pt>
                <c:pt idx="25">
                  <c:v>0.2</c:v>
                </c:pt>
                <c:pt idx="26">
                  <c:v>0.20800000000000002</c:v>
                </c:pt>
                <c:pt idx="27">
                  <c:v>0.21600000000000003</c:v>
                </c:pt>
                <c:pt idx="28">
                  <c:v>0.22400000000000003</c:v>
                </c:pt>
                <c:pt idx="29">
                  <c:v>0.23199999999999998</c:v>
                </c:pt>
                <c:pt idx="30">
                  <c:v>0.24</c:v>
                </c:pt>
                <c:pt idx="31">
                  <c:v>0.248</c:v>
                </c:pt>
                <c:pt idx="32">
                  <c:v>0.25600000000000001</c:v>
                </c:pt>
                <c:pt idx="33">
                  <c:v>0.26400000000000001</c:v>
                </c:pt>
                <c:pt idx="34">
                  <c:v>0.27200000000000002</c:v>
                </c:pt>
                <c:pt idx="35">
                  <c:v>0.27999999999999997</c:v>
                </c:pt>
                <c:pt idx="36">
                  <c:v>0.28799999999999998</c:v>
                </c:pt>
                <c:pt idx="37">
                  <c:v>0.29599999999999999</c:v>
                </c:pt>
                <c:pt idx="38">
                  <c:v>0.30400000000000005</c:v>
                </c:pt>
                <c:pt idx="39">
                  <c:v>0.31200000000000006</c:v>
                </c:pt>
                <c:pt idx="40">
                  <c:v>0.32000000000000006</c:v>
                </c:pt>
                <c:pt idx="41">
                  <c:v>0.32800000000000001</c:v>
                </c:pt>
                <c:pt idx="42">
                  <c:v>0.33600000000000002</c:v>
                </c:pt>
                <c:pt idx="43">
                  <c:v>0.34400000000000003</c:v>
                </c:pt>
                <c:pt idx="44">
                  <c:v>0.35200000000000004</c:v>
                </c:pt>
                <c:pt idx="45">
                  <c:v>0.36000000000000004</c:v>
                </c:pt>
                <c:pt idx="46">
                  <c:v>0.36800000000000005</c:v>
                </c:pt>
                <c:pt idx="47">
                  <c:v>0.376</c:v>
                </c:pt>
                <c:pt idx="48">
                  <c:v>0.38400000000000001</c:v>
                </c:pt>
                <c:pt idx="49">
                  <c:v>0.39200000000000002</c:v>
                </c:pt>
                <c:pt idx="50">
                  <c:v>0.4</c:v>
                </c:pt>
                <c:pt idx="51">
                  <c:v>0.40800000000000003</c:v>
                </c:pt>
                <c:pt idx="52">
                  <c:v>0.41600000000000004</c:v>
                </c:pt>
                <c:pt idx="53">
                  <c:v>0.42400000000000004</c:v>
                </c:pt>
                <c:pt idx="54">
                  <c:v>0.43200000000000005</c:v>
                </c:pt>
                <c:pt idx="55">
                  <c:v>0.44000000000000006</c:v>
                </c:pt>
                <c:pt idx="56">
                  <c:v>0.44800000000000006</c:v>
                </c:pt>
                <c:pt idx="57">
                  <c:v>0.45599999999999996</c:v>
                </c:pt>
                <c:pt idx="58">
                  <c:v>0.46399999999999997</c:v>
                </c:pt>
                <c:pt idx="59">
                  <c:v>0.47199999999999998</c:v>
                </c:pt>
                <c:pt idx="60">
                  <c:v>0.48</c:v>
                </c:pt>
                <c:pt idx="61">
                  <c:v>0.48799999999999999</c:v>
                </c:pt>
                <c:pt idx="62">
                  <c:v>0.496</c:v>
                </c:pt>
                <c:pt idx="63">
                  <c:v>0.504</c:v>
                </c:pt>
                <c:pt idx="64">
                  <c:v>0.51200000000000001</c:v>
                </c:pt>
                <c:pt idx="65">
                  <c:v>0.52</c:v>
                </c:pt>
                <c:pt idx="66">
                  <c:v>0.52800000000000002</c:v>
                </c:pt>
                <c:pt idx="67">
                  <c:v>0.53600000000000003</c:v>
                </c:pt>
                <c:pt idx="68">
                  <c:v>0.54400000000000004</c:v>
                </c:pt>
                <c:pt idx="69">
                  <c:v>0.55199999999999994</c:v>
                </c:pt>
                <c:pt idx="70">
                  <c:v>0.55999999999999994</c:v>
                </c:pt>
                <c:pt idx="71">
                  <c:v>0.56799999999999995</c:v>
                </c:pt>
                <c:pt idx="72">
                  <c:v>0.57599999999999996</c:v>
                </c:pt>
                <c:pt idx="73">
                  <c:v>0.58399999999999996</c:v>
                </c:pt>
                <c:pt idx="74">
                  <c:v>0.59199999999999997</c:v>
                </c:pt>
                <c:pt idx="75">
                  <c:v>0.60000000000000009</c:v>
                </c:pt>
                <c:pt idx="76">
                  <c:v>0.6080000000000001</c:v>
                </c:pt>
                <c:pt idx="77">
                  <c:v>0.6160000000000001</c:v>
                </c:pt>
                <c:pt idx="78">
                  <c:v>0.62400000000000011</c:v>
                </c:pt>
                <c:pt idx="79">
                  <c:v>0.63200000000000012</c:v>
                </c:pt>
                <c:pt idx="80">
                  <c:v>0.64000000000000012</c:v>
                </c:pt>
                <c:pt idx="81">
                  <c:v>0.64800000000000013</c:v>
                </c:pt>
                <c:pt idx="82">
                  <c:v>0.65600000000000003</c:v>
                </c:pt>
                <c:pt idx="83">
                  <c:v>0.66400000000000003</c:v>
                </c:pt>
                <c:pt idx="84">
                  <c:v>0.67200000000000004</c:v>
                </c:pt>
                <c:pt idx="85">
                  <c:v>0.68</c:v>
                </c:pt>
                <c:pt idx="86">
                  <c:v>0.68800000000000006</c:v>
                </c:pt>
                <c:pt idx="87">
                  <c:v>0.69600000000000006</c:v>
                </c:pt>
                <c:pt idx="88">
                  <c:v>0.70400000000000007</c:v>
                </c:pt>
                <c:pt idx="89">
                  <c:v>0.71200000000000008</c:v>
                </c:pt>
                <c:pt idx="90">
                  <c:v>0.72000000000000008</c:v>
                </c:pt>
                <c:pt idx="91">
                  <c:v>0.72800000000000009</c:v>
                </c:pt>
                <c:pt idx="92">
                  <c:v>0.7360000000000001</c:v>
                </c:pt>
                <c:pt idx="93">
                  <c:v>0.74400000000000011</c:v>
                </c:pt>
                <c:pt idx="94">
                  <c:v>0.752</c:v>
                </c:pt>
                <c:pt idx="95">
                  <c:v>0.76</c:v>
                </c:pt>
                <c:pt idx="96">
                  <c:v>0.76800000000000002</c:v>
                </c:pt>
                <c:pt idx="97">
                  <c:v>0.77600000000000002</c:v>
                </c:pt>
                <c:pt idx="98">
                  <c:v>0.78400000000000003</c:v>
                </c:pt>
                <c:pt idx="99">
                  <c:v>0.79200000000000004</c:v>
                </c:pt>
                <c:pt idx="100">
                  <c:v>0.8</c:v>
                </c:pt>
              </c:numCache>
            </c:numRef>
          </c:cat>
          <c:val>
            <c:numRef>
              <c:f>'Calculations - Single'!$AN$217:$AN$317</c:f>
              <c:numCache>
                <c:formatCode>0.0</c:formatCode>
                <c:ptCount val="101"/>
                <c:pt idx="0">
                  <c:v>12</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Single'!$F$5:$F$105</c:f>
              <c:numCache>
                <c:formatCode>0.000</c:formatCode>
                <c:ptCount val="101"/>
                <c:pt idx="0">
                  <c:v>1.0000000000000001E-9</c:v>
                </c:pt>
                <c:pt idx="1">
                  <c:v>8.0000000000000002E-3</c:v>
                </c:pt>
                <c:pt idx="2">
                  <c:v>1.6E-2</c:v>
                </c:pt>
                <c:pt idx="3">
                  <c:v>2.4E-2</c:v>
                </c:pt>
                <c:pt idx="4">
                  <c:v>3.2000000000000001E-2</c:v>
                </c:pt>
                <c:pt idx="5">
                  <c:v>4.0000000000000008E-2</c:v>
                </c:pt>
                <c:pt idx="6">
                  <c:v>4.8000000000000001E-2</c:v>
                </c:pt>
                <c:pt idx="7">
                  <c:v>5.6000000000000008E-2</c:v>
                </c:pt>
                <c:pt idx="8">
                  <c:v>6.4000000000000001E-2</c:v>
                </c:pt>
                <c:pt idx="9">
                  <c:v>7.1999999999999995E-2</c:v>
                </c:pt>
                <c:pt idx="10">
                  <c:v>8.0000000000000016E-2</c:v>
                </c:pt>
                <c:pt idx="11">
                  <c:v>8.8000000000000009E-2</c:v>
                </c:pt>
                <c:pt idx="12">
                  <c:v>9.6000000000000002E-2</c:v>
                </c:pt>
                <c:pt idx="13">
                  <c:v>0.10400000000000001</c:v>
                </c:pt>
                <c:pt idx="14">
                  <c:v>0.11200000000000002</c:v>
                </c:pt>
                <c:pt idx="15">
                  <c:v>0.12</c:v>
                </c:pt>
                <c:pt idx="16">
                  <c:v>0.128</c:v>
                </c:pt>
                <c:pt idx="17">
                  <c:v>0.13600000000000001</c:v>
                </c:pt>
                <c:pt idx="18">
                  <c:v>0.14399999999999999</c:v>
                </c:pt>
                <c:pt idx="19">
                  <c:v>0.15200000000000002</c:v>
                </c:pt>
                <c:pt idx="20">
                  <c:v>0.16000000000000003</c:v>
                </c:pt>
                <c:pt idx="21">
                  <c:v>0.16800000000000001</c:v>
                </c:pt>
                <c:pt idx="22">
                  <c:v>0.17600000000000002</c:v>
                </c:pt>
                <c:pt idx="23">
                  <c:v>0.18400000000000002</c:v>
                </c:pt>
                <c:pt idx="24">
                  <c:v>0.192</c:v>
                </c:pt>
                <c:pt idx="25">
                  <c:v>0.2</c:v>
                </c:pt>
                <c:pt idx="26">
                  <c:v>0.20800000000000002</c:v>
                </c:pt>
                <c:pt idx="27">
                  <c:v>0.21600000000000003</c:v>
                </c:pt>
                <c:pt idx="28">
                  <c:v>0.22400000000000003</c:v>
                </c:pt>
                <c:pt idx="29">
                  <c:v>0.23199999999999998</c:v>
                </c:pt>
                <c:pt idx="30">
                  <c:v>0.24</c:v>
                </c:pt>
                <c:pt idx="31">
                  <c:v>0.248</c:v>
                </c:pt>
                <c:pt idx="32">
                  <c:v>0.25600000000000001</c:v>
                </c:pt>
                <c:pt idx="33">
                  <c:v>0.26400000000000001</c:v>
                </c:pt>
                <c:pt idx="34">
                  <c:v>0.27200000000000002</c:v>
                </c:pt>
                <c:pt idx="35">
                  <c:v>0.27999999999999997</c:v>
                </c:pt>
                <c:pt idx="36">
                  <c:v>0.28799999999999998</c:v>
                </c:pt>
                <c:pt idx="37">
                  <c:v>0.29599999999999999</c:v>
                </c:pt>
                <c:pt idx="38">
                  <c:v>0.30400000000000005</c:v>
                </c:pt>
                <c:pt idx="39">
                  <c:v>0.31200000000000006</c:v>
                </c:pt>
                <c:pt idx="40">
                  <c:v>0.32000000000000006</c:v>
                </c:pt>
                <c:pt idx="41">
                  <c:v>0.32800000000000001</c:v>
                </c:pt>
                <c:pt idx="42">
                  <c:v>0.33600000000000002</c:v>
                </c:pt>
                <c:pt idx="43">
                  <c:v>0.34400000000000003</c:v>
                </c:pt>
                <c:pt idx="44">
                  <c:v>0.35200000000000004</c:v>
                </c:pt>
                <c:pt idx="45">
                  <c:v>0.36000000000000004</c:v>
                </c:pt>
                <c:pt idx="46">
                  <c:v>0.36800000000000005</c:v>
                </c:pt>
                <c:pt idx="47">
                  <c:v>0.376</c:v>
                </c:pt>
                <c:pt idx="48">
                  <c:v>0.38400000000000001</c:v>
                </c:pt>
                <c:pt idx="49">
                  <c:v>0.39200000000000002</c:v>
                </c:pt>
                <c:pt idx="50">
                  <c:v>0.4</c:v>
                </c:pt>
                <c:pt idx="51">
                  <c:v>0.40800000000000003</c:v>
                </c:pt>
                <c:pt idx="52">
                  <c:v>0.41600000000000004</c:v>
                </c:pt>
                <c:pt idx="53">
                  <c:v>0.42400000000000004</c:v>
                </c:pt>
                <c:pt idx="54">
                  <c:v>0.43200000000000005</c:v>
                </c:pt>
                <c:pt idx="55">
                  <c:v>0.44000000000000006</c:v>
                </c:pt>
                <c:pt idx="56">
                  <c:v>0.44800000000000006</c:v>
                </c:pt>
                <c:pt idx="57">
                  <c:v>0.45599999999999996</c:v>
                </c:pt>
                <c:pt idx="58">
                  <c:v>0.46399999999999997</c:v>
                </c:pt>
                <c:pt idx="59">
                  <c:v>0.47199999999999998</c:v>
                </c:pt>
                <c:pt idx="60">
                  <c:v>0.48</c:v>
                </c:pt>
                <c:pt idx="61">
                  <c:v>0.48799999999999999</c:v>
                </c:pt>
                <c:pt idx="62">
                  <c:v>0.496</c:v>
                </c:pt>
                <c:pt idx="63">
                  <c:v>0.504</c:v>
                </c:pt>
                <c:pt idx="64">
                  <c:v>0.51200000000000001</c:v>
                </c:pt>
                <c:pt idx="65">
                  <c:v>0.52</c:v>
                </c:pt>
                <c:pt idx="66">
                  <c:v>0.52800000000000002</c:v>
                </c:pt>
                <c:pt idx="67">
                  <c:v>0.53600000000000003</c:v>
                </c:pt>
                <c:pt idx="68">
                  <c:v>0.54400000000000004</c:v>
                </c:pt>
                <c:pt idx="69">
                  <c:v>0.55199999999999994</c:v>
                </c:pt>
                <c:pt idx="70">
                  <c:v>0.55999999999999994</c:v>
                </c:pt>
                <c:pt idx="71">
                  <c:v>0.56799999999999995</c:v>
                </c:pt>
                <c:pt idx="72">
                  <c:v>0.57599999999999996</c:v>
                </c:pt>
                <c:pt idx="73">
                  <c:v>0.58399999999999996</c:v>
                </c:pt>
                <c:pt idx="74">
                  <c:v>0.59199999999999997</c:v>
                </c:pt>
                <c:pt idx="75">
                  <c:v>0.60000000000000009</c:v>
                </c:pt>
                <c:pt idx="76">
                  <c:v>0.6080000000000001</c:v>
                </c:pt>
                <c:pt idx="77">
                  <c:v>0.6160000000000001</c:v>
                </c:pt>
                <c:pt idx="78">
                  <c:v>0.62400000000000011</c:v>
                </c:pt>
                <c:pt idx="79">
                  <c:v>0.63200000000000012</c:v>
                </c:pt>
                <c:pt idx="80">
                  <c:v>0.64000000000000012</c:v>
                </c:pt>
                <c:pt idx="81">
                  <c:v>0.64800000000000013</c:v>
                </c:pt>
                <c:pt idx="82">
                  <c:v>0.65600000000000003</c:v>
                </c:pt>
                <c:pt idx="83">
                  <c:v>0.66400000000000003</c:v>
                </c:pt>
                <c:pt idx="84">
                  <c:v>0.67200000000000004</c:v>
                </c:pt>
                <c:pt idx="85">
                  <c:v>0.68</c:v>
                </c:pt>
                <c:pt idx="86">
                  <c:v>0.68800000000000006</c:v>
                </c:pt>
                <c:pt idx="87">
                  <c:v>0.69600000000000006</c:v>
                </c:pt>
                <c:pt idx="88">
                  <c:v>0.70400000000000007</c:v>
                </c:pt>
                <c:pt idx="89">
                  <c:v>0.71200000000000008</c:v>
                </c:pt>
                <c:pt idx="90">
                  <c:v>0.72000000000000008</c:v>
                </c:pt>
                <c:pt idx="91">
                  <c:v>0.72800000000000009</c:v>
                </c:pt>
                <c:pt idx="92">
                  <c:v>0.7360000000000001</c:v>
                </c:pt>
                <c:pt idx="93">
                  <c:v>0.74400000000000011</c:v>
                </c:pt>
                <c:pt idx="94">
                  <c:v>0.752</c:v>
                </c:pt>
                <c:pt idx="95">
                  <c:v>0.76</c:v>
                </c:pt>
                <c:pt idx="96">
                  <c:v>0.76800000000000002</c:v>
                </c:pt>
                <c:pt idx="97">
                  <c:v>0.77600000000000002</c:v>
                </c:pt>
                <c:pt idx="98">
                  <c:v>0.78400000000000003</c:v>
                </c:pt>
                <c:pt idx="99">
                  <c:v>0.79200000000000004</c:v>
                </c:pt>
                <c:pt idx="100">
                  <c:v>0.8</c:v>
                </c:pt>
              </c:numCache>
            </c:numRef>
          </c:cat>
          <c:val>
            <c:numRef>
              <c:f>'Calculations - Single'!$CD$110:$CD$210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FF0000"/>
                </a:solidFill>
              </a:ln>
            </c:spPr>
          </c:marker>
          <c:cat>
            <c:numRef>
              <c:f>'Calculations - Single'!$F$5:$F$105</c:f>
              <c:numCache>
                <c:formatCode>0.000</c:formatCode>
                <c:ptCount val="101"/>
                <c:pt idx="0">
                  <c:v>1.0000000000000001E-9</c:v>
                </c:pt>
                <c:pt idx="1">
                  <c:v>8.0000000000000002E-3</c:v>
                </c:pt>
                <c:pt idx="2">
                  <c:v>1.6E-2</c:v>
                </c:pt>
                <c:pt idx="3">
                  <c:v>2.4E-2</c:v>
                </c:pt>
                <c:pt idx="4">
                  <c:v>3.2000000000000001E-2</c:v>
                </c:pt>
                <c:pt idx="5">
                  <c:v>4.0000000000000008E-2</c:v>
                </c:pt>
                <c:pt idx="6">
                  <c:v>4.8000000000000001E-2</c:v>
                </c:pt>
                <c:pt idx="7">
                  <c:v>5.6000000000000008E-2</c:v>
                </c:pt>
                <c:pt idx="8">
                  <c:v>6.4000000000000001E-2</c:v>
                </c:pt>
                <c:pt idx="9">
                  <c:v>7.1999999999999995E-2</c:v>
                </c:pt>
                <c:pt idx="10">
                  <c:v>8.0000000000000016E-2</c:v>
                </c:pt>
                <c:pt idx="11">
                  <c:v>8.8000000000000009E-2</c:v>
                </c:pt>
                <c:pt idx="12">
                  <c:v>9.6000000000000002E-2</c:v>
                </c:pt>
                <c:pt idx="13">
                  <c:v>0.10400000000000001</c:v>
                </c:pt>
                <c:pt idx="14">
                  <c:v>0.11200000000000002</c:v>
                </c:pt>
                <c:pt idx="15">
                  <c:v>0.12</c:v>
                </c:pt>
                <c:pt idx="16">
                  <c:v>0.128</c:v>
                </c:pt>
                <c:pt idx="17">
                  <c:v>0.13600000000000001</c:v>
                </c:pt>
                <c:pt idx="18">
                  <c:v>0.14399999999999999</c:v>
                </c:pt>
                <c:pt idx="19">
                  <c:v>0.15200000000000002</c:v>
                </c:pt>
                <c:pt idx="20">
                  <c:v>0.16000000000000003</c:v>
                </c:pt>
                <c:pt idx="21">
                  <c:v>0.16800000000000001</c:v>
                </c:pt>
                <c:pt idx="22">
                  <c:v>0.17600000000000002</c:v>
                </c:pt>
                <c:pt idx="23">
                  <c:v>0.18400000000000002</c:v>
                </c:pt>
                <c:pt idx="24">
                  <c:v>0.192</c:v>
                </c:pt>
                <c:pt idx="25">
                  <c:v>0.2</c:v>
                </c:pt>
                <c:pt idx="26">
                  <c:v>0.20800000000000002</c:v>
                </c:pt>
                <c:pt idx="27">
                  <c:v>0.21600000000000003</c:v>
                </c:pt>
                <c:pt idx="28">
                  <c:v>0.22400000000000003</c:v>
                </c:pt>
                <c:pt idx="29">
                  <c:v>0.23199999999999998</c:v>
                </c:pt>
                <c:pt idx="30">
                  <c:v>0.24</c:v>
                </c:pt>
                <c:pt idx="31">
                  <c:v>0.248</c:v>
                </c:pt>
                <c:pt idx="32">
                  <c:v>0.25600000000000001</c:v>
                </c:pt>
                <c:pt idx="33">
                  <c:v>0.26400000000000001</c:v>
                </c:pt>
                <c:pt idx="34">
                  <c:v>0.27200000000000002</c:v>
                </c:pt>
                <c:pt idx="35">
                  <c:v>0.27999999999999997</c:v>
                </c:pt>
                <c:pt idx="36">
                  <c:v>0.28799999999999998</c:v>
                </c:pt>
                <c:pt idx="37">
                  <c:v>0.29599999999999999</c:v>
                </c:pt>
                <c:pt idx="38">
                  <c:v>0.30400000000000005</c:v>
                </c:pt>
                <c:pt idx="39">
                  <c:v>0.31200000000000006</c:v>
                </c:pt>
                <c:pt idx="40">
                  <c:v>0.32000000000000006</c:v>
                </c:pt>
                <c:pt idx="41">
                  <c:v>0.32800000000000001</c:v>
                </c:pt>
                <c:pt idx="42">
                  <c:v>0.33600000000000002</c:v>
                </c:pt>
                <c:pt idx="43">
                  <c:v>0.34400000000000003</c:v>
                </c:pt>
                <c:pt idx="44">
                  <c:v>0.35200000000000004</c:v>
                </c:pt>
                <c:pt idx="45">
                  <c:v>0.36000000000000004</c:v>
                </c:pt>
                <c:pt idx="46">
                  <c:v>0.36800000000000005</c:v>
                </c:pt>
                <c:pt idx="47">
                  <c:v>0.376</c:v>
                </c:pt>
                <c:pt idx="48">
                  <c:v>0.38400000000000001</c:v>
                </c:pt>
                <c:pt idx="49">
                  <c:v>0.39200000000000002</c:v>
                </c:pt>
                <c:pt idx="50">
                  <c:v>0.4</c:v>
                </c:pt>
                <c:pt idx="51">
                  <c:v>0.40800000000000003</c:v>
                </c:pt>
                <c:pt idx="52">
                  <c:v>0.41600000000000004</c:v>
                </c:pt>
                <c:pt idx="53">
                  <c:v>0.42400000000000004</c:v>
                </c:pt>
                <c:pt idx="54">
                  <c:v>0.43200000000000005</c:v>
                </c:pt>
                <c:pt idx="55">
                  <c:v>0.44000000000000006</c:v>
                </c:pt>
                <c:pt idx="56">
                  <c:v>0.44800000000000006</c:v>
                </c:pt>
                <c:pt idx="57">
                  <c:v>0.45599999999999996</c:v>
                </c:pt>
                <c:pt idx="58">
                  <c:v>0.46399999999999997</c:v>
                </c:pt>
                <c:pt idx="59">
                  <c:v>0.47199999999999998</c:v>
                </c:pt>
                <c:pt idx="60">
                  <c:v>0.48</c:v>
                </c:pt>
                <c:pt idx="61">
                  <c:v>0.48799999999999999</c:v>
                </c:pt>
                <c:pt idx="62">
                  <c:v>0.496</c:v>
                </c:pt>
                <c:pt idx="63">
                  <c:v>0.504</c:v>
                </c:pt>
                <c:pt idx="64">
                  <c:v>0.51200000000000001</c:v>
                </c:pt>
                <c:pt idx="65">
                  <c:v>0.52</c:v>
                </c:pt>
                <c:pt idx="66">
                  <c:v>0.52800000000000002</c:v>
                </c:pt>
                <c:pt idx="67">
                  <c:v>0.53600000000000003</c:v>
                </c:pt>
                <c:pt idx="68">
                  <c:v>0.54400000000000004</c:v>
                </c:pt>
                <c:pt idx="69">
                  <c:v>0.55199999999999994</c:v>
                </c:pt>
                <c:pt idx="70">
                  <c:v>0.55999999999999994</c:v>
                </c:pt>
                <c:pt idx="71">
                  <c:v>0.56799999999999995</c:v>
                </c:pt>
                <c:pt idx="72">
                  <c:v>0.57599999999999996</c:v>
                </c:pt>
                <c:pt idx="73">
                  <c:v>0.58399999999999996</c:v>
                </c:pt>
                <c:pt idx="74">
                  <c:v>0.59199999999999997</c:v>
                </c:pt>
                <c:pt idx="75">
                  <c:v>0.60000000000000009</c:v>
                </c:pt>
                <c:pt idx="76">
                  <c:v>0.6080000000000001</c:v>
                </c:pt>
                <c:pt idx="77">
                  <c:v>0.6160000000000001</c:v>
                </c:pt>
                <c:pt idx="78">
                  <c:v>0.62400000000000011</c:v>
                </c:pt>
                <c:pt idx="79">
                  <c:v>0.63200000000000012</c:v>
                </c:pt>
                <c:pt idx="80">
                  <c:v>0.64000000000000012</c:v>
                </c:pt>
                <c:pt idx="81">
                  <c:v>0.64800000000000013</c:v>
                </c:pt>
                <c:pt idx="82">
                  <c:v>0.65600000000000003</c:v>
                </c:pt>
                <c:pt idx="83">
                  <c:v>0.66400000000000003</c:v>
                </c:pt>
                <c:pt idx="84">
                  <c:v>0.67200000000000004</c:v>
                </c:pt>
                <c:pt idx="85">
                  <c:v>0.68</c:v>
                </c:pt>
                <c:pt idx="86">
                  <c:v>0.68800000000000006</c:v>
                </c:pt>
                <c:pt idx="87">
                  <c:v>0.69600000000000006</c:v>
                </c:pt>
                <c:pt idx="88">
                  <c:v>0.70400000000000007</c:v>
                </c:pt>
                <c:pt idx="89">
                  <c:v>0.71200000000000008</c:v>
                </c:pt>
                <c:pt idx="90">
                  <c:v>0.72000000000000008</c:v>
                </c:pt>
                <c:pt idx="91">
                  <c:v>0.72800000000000009</c:v>
                </c:pt>
                <c:pt idx="92">
                  <c:v>0.7360000000000001</c:v>
                </c:pt>
                <c:pt idx="93">
                  <c:v>0.74400000000000011</c:v>
                </c:pt>
                <c:pt idx="94">
                  <c:v>0.752</c:v>
                </c:pt>
                <c:pt idx="95">
                  <c:v>0.76</c:v>
                </c:pt>
                <c:pt idx="96">
                  <c:v>0.76800000000000002</c:v>
                </c:pt>
                <c:pt idx="97">
                  <c:v>0.77600000000000002</c:v>
                </c:pt>
                <c:pt idx="98">
                  <c:v>0.78400000000000003</c:v>
                </c:pt>
                <c:pt idx="99">
                  <c:v>0.79200000000000004</c:v>
                </c:pt>
                <c:pt idx="100">
                  <c:v>0.8</c:v>
                </c:pt>
              </c:numCache>
            </c:numRef>
          </c:cat>
          <c:val>
            <c:numRef>
              <c:f>'Calculations - Single'!$CD$5:$CD$105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0000FF"/>
                </a:solidFill>
              </a:ln>
            </c:spPr>
          </c:marker>
          <c:cat>
            <c:numRef>
              <c:f>'Calculations - Single'!$F$5:$F$105</c:f>
              <c:numCache>
                <c:formatCode>0.000</c:formatCode>
                <c:ptCount val="101"/>
                <c:pt idx="0">
                  <c:v>1.0000000000000001E-9</c:v>
                </c:pt>
                <c:pt idx="1">
                  <c:v>8.0000000000000002E-3</c:v>
                </c:pt>
                <c:pt idx="2">
                  <c:v>1.6E-2</c:v>
                </c:pt>
                <c:pt idx="3">
                  <c:v>2.4E-2</c:v>
                </c:pt>
                <c:pt idx="4">
                  <c:v>3.2000000000000001E-2</c:v>
                </c:pt>
                <c:pt idx="5">
                  <c:v>4.0000000000000008E-2</c:v>
                </c:pt>
                <c:pt idx="6">
                  <c:v>4.8000000000000001E-2</c:v>
                </c:pt>
                <c:pt idx="7">
                  <c:v>5.6000000000000008E-2</c:v>
                </c:pt>
                <c:pt idx="8">
                  <c:v>6.4000000000000001E-2</c:v>
                </c:pt>
                <c:pt idx="9">
                  <c:v>7.1999999999999995E-2</c:v>
                </c:pt>
                <c:pt idx="10">
                  <c:v>8.0000000000000016E-2</c:v>
                </c:pt>
                <c:pt idx="11">
                  <c:v>8.8000000000000009E-2</c:v>
                </c:pt>
                <c:pt idx="12">
                  <c:v>9.6000000000000002E-2</c:v>
                </c:pt>
                <c:pt idx="13">
                  <c:v>0.10400000000000001</c:v>
                </c:pt>
                <c:pt idx="14">
                  <c:v>0.11200000000000002</c:v>
                </c:pt>
                <c:pt idx="15">
                  <c:v>0.12</c:v>
                </c:pt>
                <c:pt idx="16">
                  <c:v>0.128</c:v>
                </c:pt>
                <c:pt idx="17">
                  <c:v>0.13600000000000001</c:v>
                </c:pt>
                <c:pt idx="18">
                  <c:v>0.14399999999999999</c:v>
                </c:pt>
                <c:pt idx="19">
                  <c:v>0.15200000000000002</c:v>
                </c:pt>
                <c:pt idx="20">
                  <c:v>0.16000000000000003</c:v>
                </c:pt>
                <c:pt idx="21">
                  <c:v>0.16800000000000001</c:v>
                </c:pt>
                <c:pt idx="22">
                  <c:v>0.17600000000000002</c:v>
                </c:pt>
                <c:pt idx="23">
                  <c:v>0.18400000000000002</c:v>
                </c:pt>
                <c:pt idx="24">
                  <c:v>0.192</c:v>
                </c:pt>
                <c:pt idx="25">
                  <c:v>0.2</c:v>
                </c:pt>
                <c:pt idx="26">
                  <c:v>0.20800000000000002</c:v>
                </c:pt>
                <c:pt idx="27">
                  <c:v>0.21600000000000003</c:v>
                </c:pt>
                <c:pt idx="28">
                  <c:v>0.22400000000000003</c:v>
                </c:pt>
                <c:pt idx="29">
                  <c:v>0.23199999999999998</c:v>
                </c:pt>
                <c:pt idx="30">
                  <c:v>0.24</c:v>
                </c:pt>
                <c:pt idx="31">
                  <c:v>0.248</c:v>
                </c:pt>
                <c:pt idx="32">
                  <c:v>0.25600000000000001</c:v>
                </c:pt>
                <c:pt idx="33">
                  <c:v>0.26400000000000001</c:v>
                </c:pt>
                <c:pt idx="34">
                  <c:v>0.27200000000000002</c:v>
                </c:pt>
                <c:pt idx="35">
                  <c:v>0.27999999999999997</c:v>
                </c:pt>
                <c:pt idx="36">
                  <c:v>0.28799999999999998</c:v>
                </c:pt>
                <c:pt idx="37">
                  <c:v>0.29599999999999999</c:v>
                </c:pt>
                <c:pt idx="38">
                  <c:v>0.30400000000000005</c:v>
                </c:pt>
                <c:pt idx="39">
                  <c:v>0.31200000000000006</c:v>
                </c:pt>
                <c:pt idx="40">
                  <c:v>0.32000000000000006</c:v>
                </c:pt>
                <c:pt idx="41">
                  <c:v>0.32800000000000001</c:v>
                </c:pt>
                <c:pt idx="42">
                  <c:v>0.33600000000000002</c:v>
                </c:pt>
                <c:pt idx="43">
                  <c:v>0.34400000000000003</c:v>
                </c:pt>
                <c:pt idx="44">
                  <c:v>0.35200000000000004</c:v>
                </c:pt>
                <c:pt idx="45">
                  <c:v>0.36000000000000004</c:v>
                </c:pt>
                <c:pt idx="46">
                  <c:v>0.36800000000000005</c:v>
                </c:pt>
                <c:pt idx="47">
                  <c:v>0.376</c:v>
                </c:pt>
                <c:pt idx="48">
                  <c:v>0.38400000000000001</c:v>
                </c:pt>
                <c:pt idx="49">
                  <c:v>0.39200000000000002</c:v>
                </c:pt>
                <c:pt idx="50">
                  <c:v>0.4</c:v>
                </c:pt>
                <c:pt idx="51">
                  <c:v>0.40800000000000003</c:v>
                </c:pt>
                <c:pt idx="52">
                  <c:v>0.41600000000000004</c:v>
                </c:pt>
                <c:pt idx="53">
                  <c:v>0.42400000000000004</c:v>
                </c:pt>
                <c:pt idx="54">
                  <c:v>0.43200000000000005</c:v>
                </c:pt>
                <c:pt idx="55">
                  <c:v>0.44000000000000006</c:v>
                </c:pt>
                <c:pt idx="56">
                  <c:v>0.44800000000000006</c:v>
                </c:pt>
                <c:pt idx="57">
                  <c:v>0.45599999999999996</c:v>
                </c:pt>
                <c:pt idx="58">
                  <c:v>0.46399999999999997</c:v>
                </c:pt>
                <c:pt idx="59">
                  <c:v>0.47199999999999998</c:v>
                </c:pt>
                <c:pt idx="60">
                  <c:v>0.48</c:v>
                </c:pt>
                <c:pt idx="61">
                  <c:v>0.48799999999999999</c:v>
                </c:pt>
                <c:pt idx="62">
                  <c:v>0.496</c:v>
                </c:pt>
                <c:pt idx="63">
                  <c:v>0.504</c:v>
                </c:pt>
                <c:pt idx="64">
                  <c:v>0.51200000000000001</c:v>
                </c:pt>
                <c:pt idx="65">
                  <c:v>0.52</c:v>
                </c:pt>
                <c:pt idx="66">
                  <c:v>0.52800000000000002</c:v>
                </c:pt>
                <c:pt idx="67">
                  <c:v>0.53600000000000003</c:v>
                </c:pt>
                <c:pt idx="68">
                  <c:v>0.54400000000000004</c:v>
                </c:pt>
                <c:pt idx="69">
                  <c:v>0.55199999999999994</c:v>
                </c:pt>
                <c:pt idx="70">
                  <c:v>0.55999999999999994</c:v>
                </c:pt>
                <c:pt idx="71">
                  <c:v>0.56799999999999995</c:v>
                </c:pt>
                <c:pt idx="72">
                  <c:v>0.57599999999999996</c:v>
                </c:pt>
                <c:pt idx="73">
                  <c:v>0.58399999999999996</c:v>
                </c:pt>
                <c:pt idx="74">
                  <c:v>0.59199999999999997</c:v>
                </c:pt>
                <c:pt idx="75">
                  <c:v>0.60000000000000009</c:v>
                </c:pt>
                <c:pt idx="76">
                  <c:v>0.6080000000000001</c:v>
                </c:pt>
                <c:pt idx="77">
                  <c:v>0.6160000000000001</c:v>
                </c:pt>
                <c:pt idx="78">
                  <c:v>0.62400000000000011</c:v>
                </c:pt>
                <c:pt idx="79">
                  <c:v>0.63200000000000012</c:v>
                </c:pt>
                <c:pt idx="80">
                  <c:v>0.64000000000000012</c:v>
                </c:pt>
                <c:pt idx="81">
                  <c:v>0.64800000000000013</c:v>
                </c:pt>
                <c:pt idx="82">
                  <c:v>0.65600000000000003</c:v>
                </c:pt>
                <c:pt idx="83">
                  <c:v>0.66400000000000003</c:v>
                </c:pt>
                <c:pt idx="84">
                  <c:v>0.67200000000000004</c:v>
                </c:pt>
                <c:pt idx="85">
                  <c:v>0.68</c:v>
                </c:pt>
                <c:pt idx="86">
                  <c:v>0.68800000000000006</c:v>
                </c:pt>
                <c:pt idx="87">
                  <c:v>0.69600000000000006</c:v>
                </c:pt>
                <c:pt idx="88">
                  <c:v>0.70400000000000007</c:v>
                </c:pt>
                <c:pt idx="89">
                  <c:v>0.71200000000000008</c:v>
                </c:pt>
                <c:pt idx="90">
                  <c:v>0.72000000000000008</c:v>
                </c:pt>
                <c:pt idx="91">
                  <c:v>0.72800000000000009</c:v>
                </c:pt>
                <c:pt idx="92">
                  <c:v>0.7360000000000001</c:v>
                </c:pt>
                <c:pt idx="93">
                  <c:v>0.74400000000000011</c:v>
                </c:pt>
                <c:pt idx="94">
                  <c:v>0.752</c:v>
                </c:pt>
                <c:pt idx="95">
                  <c:v>0.76</c:v>
                </c:pt>
                <c:pt idx="96">
                  <c:v>0.76800000000000002</c:v>
                </c:pt>
                <c:pt idx="97">
                  <c:v>0.77600000000000002</c:v>
                </c:pt>
                <c:pt idx="98">
                  <c:v>0.78400000000000003</c:v>
                </c:pt>
                <c:pt idx="99">
                  <c:v>0.79200000000000004</c:v>
                </c:pt>
                <c:pt idx="100">
                  <c:v>0.8</c:v>
                </c:pt>
              </c:numCache>
            </c:numRef>
          </c:cat>
          <c:val>
            <c:numRef>
              <c:f>'Calculations - Single'!$CD$217:$CD$317</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161026432"/>
        <c:axId val="161028736"/>
      </c:lineChart>
      <c:catAx>
        <c:axId val="161026432"/>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(A)</a:t>
                </a:r>
              </a:p>
            </c:rich>
          </c:tx>
          <c:layout>
            <c:manualLayout>
              <c:xMode val="edge"/>
              <c:yMode val="edge"/>
              <c:x val="0.4481026715583204"/>
              <c:y val="0.94106696890161456"/>
            </c:manualLayout>
          </c:layout>
          <c:overlay val="0"/>
          <c:spPr>
            <a:noFill/>
            <a:ln w="25400">
              <a:noFill/>
            </a:ln>
          </c:spPr>
        </c:title>
        <c:numFmt formatCode="#,##0.0" sourceLinked="0"/>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61028736"/>
        <c:crosses val="autoZero"/>
        <c:auto val="1"/>
        <c:lblAlgn val="ctr"/>
        <c:lblOffset val="100"/>
        <c:tickLblSkip val="20"/>
        <c:tickMarkSkip val="10"/>
        <c:noMultiLvlLbl val="0"/>
      </c:catAx>
      <c:valAx>
        <c:axId val="161028736"/>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61026432"/>
        <c:crossesAt val="0"/>
        <c:crossBetween val="between"/>
        <c:majorUnit val="50"/>
        <c:minorUnit val="25"/>
      </c:valAx>
      <c:spPr>
        <a:solidFill>
          <a:srgbClr val="FFFFFF"/>
        </a:solidFill>
        <a:ln w="25400">
          <a:noFill/>
        </a:ln>
      </c:spPr>
    </c:plotArea>
    <c:legend>
      <c:legendPos val="t"/>
      <c:legendEntry>
        <c:idx val="3"/>
        <c:delete val="1"/>
      </c:legendEntry>
      <c:legendEntry>
        <c:idx val="4"/>
        <c:delete val="1"/>
      </c:legendEntry>
      <c:legendEntry>
        <c:idx val="5"/>
        <c:delete val="1"/>
      </c:legendEntry>
      <c:layout>
        <c:manualLayout>
          <c:xMode val="edge"/>
          <c:yMode val="edge"/>
          <c:x val="0.30119952469789996"/>
          <c:y val="2.20093690871901E-2"/>
          <c:w val="0.4533572736110989"/>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344.37481407255473</c:v>
                </c:pt>
                <c:pt idx="35">
                  <c:v>334.5355336704817</c:v>
                </c:pt>
                <c:pt idx="36">
                  <c:v>325.24287995741281</c:v>
                </c:pt>
                <c:pt idx="37">
                  <c:v>316.45253185045567</c:v>
                </c:pt>
                <c:pt idx="38">
                  <c:v>308.12483364386469</c:v>
                </c:pt>
                <c:pt idx="39">
                  <c:v>300.22419688376556</c:v>
                </c:pt>
                <c:pt idx="40">
                  <c:v>292.71859196167145</c:v>
                </c:pt>
                <c:pt idx="41">
                  <c:v>285.57911410894781</c:v>
                </c:pt>
                <c:pt idx="42">
                  <c:v>278.77961139206815</c:v>
                </c:pt>
                <c:pt idx="43">
                  <c:v>272.29636461550842</c:v>
                </c:pt>
                <c:pt idx="44">
                  <c:v>266.10781087424681</c:v>
                </c:pt>
                <c:pt idx="45">
                  <c:v>260.1943039659302</c:v>
                </c:pt>
                <c:pt idx="46">
                  <c:v>254.53790605362735</c:v>
                </c:pt>
                <c:pt idx="47">
                  <c:v>249.1222059248268</c:v>
                </c:pt>
                <c:pt idx="48">
                  <c:v>243.93215996805955</c:v>
                </c:pt>
                <c:pt idx="49">
                  <c:v>238.95395262177266</c:v>
                </c:pt>
                <c:pt idx="50">
                  <c:v>234.17487356933714</c:v>
                </c:pt>
                <c:pt idx="51">
                  <c:v>229.58320938170309</c:v>
                </c:pt>
                <c:pt idx="52">
                  <c:v>225.16814766282417</c:v>
                </c:pt>
                <c:pt idx="53">
                  <c:v>220.9196920465445</c:v>
                </c:pt>
                <c:pt idx="54">
                  <c:v>216.82858663827514</c:v>
                </c:pt>
                <c:pt idx="55">
                  <c:v>212.88624869939744</c:v>
                </c:pt>
                <c:pt idx="56">
                  <c:v>209.08470854405107</c:v>
                </c:pt>
                <c:pt idx="57">
                  <c:v>205.41655576257651</c:v>
                </c:pt>
                <c:pt idx="58">
                  <c:v>201.87489100804933</c:v>
                </c:pt>
                <c:pt idx="59">
                  <c:v>198.45328268587897</c:v>
                </c:pt>
                <c:pt idx="60">
                  <c:v>195.14572797444771</c:v>
                </c:pt>
                <c:pt idx="61">
                  <c:v>191.94661767978459</c:v>
                </c:pt>
                <c:pt idx="62">
                  <c:v>188.85070449140096</c:v>
                </c:pt>
                <c:pt idx="63">
                  <c:v>185.85307426137874</c:v>
                </c:pt>
                <c:pt idx="64">
                  <c:v>182.94911997604467</c:v>
                </c:pt>
                <c:pt idx="65">
                  <c:v>180.50859386086347</c:v>
                </c:pt>
                <c:pt idx="66">
                  <c:v>179.36190205797473</c:v>
                </c:pt>
                <c:pt idx="67">
                  <c:v>178.23039564328349</c:v>
                </c:pt>
                <c:pt idx="68">
                  <c:v>177.11377495581107</c:v>
                </c:pt>
                <c:pt idx="69">
                  <c:v>176.01174816753786</c:v>
                </c:pt>
                <c:pt idx="70">
                  <c:v>174.92403102912905</c:v>
                </c:pt>
                <c:pt idx="71">
                  <c:v>173.85034662550134</c:v>
                </c:pt>
                <c:pt idx="72">
                  <c:v>172.79042514078932</c:v>
                </c:pt>
                <c:pt idx="73">
                  <c:v>171.74400363229302</c:v>
                </c:pt>
                <c:pt idx="74">
                  <c:v>170.71082581300777</c:v>
                </c:pt>
                <c:pt idx="75">
                  <c:v>169.69064184235944</c:v>
                </c:pt>
                <c:pt idx="76">
                  <c:v>168.68320812478589</c:v>
                </c:pt>
                <c:pt idx="77">
                  <c:v>167.6882871158235</c:v>
                </c:pt>
                <c:pt idx="78">
                  <c:v>166.70564713537419</c:v>
                </c:pt>
                <c:pt idx="79">
                  <c:v>165.73506218784559</c:v>
                </c:pt>
                <c:pt idx="80">
                  <c:v>164.77631178886978</c:v>
                </c:pt>
                <c:pt idx="81">
                  <c:v>163.82918079832271</c:v>
                </c:pt>
                <c:pt idx="82">
                  <c:v>162.89345925937772</c:v>
                </c:pt>
                <c:pt idx="83">
                  <c:v>161.96894224334102</c:v>
                </c:pt>
                <c:pt idx="84">
                  <c:v>161.05542970002759</c:v>
                </c:pt>
                <c:pt idx="85">
                  <c:v>160.15272631344868</c:v>
                </c:pt>
                <c:pt idx="86">
                  <c:v>159.2606413625916</c:v>
                </c:pt>
                <c:pt idx="87">
                  <c:v>158.37898858708411</c:v>
                </c:pt>
                <c:pt idx="88">
                  <c:v>157.50758605754373</c:v>
                </c:pt>
                <c:pt idx="89">
                  <c:v>156.64625605042343</c:v>
                </c:pt>
                <c:pt idx="90">
                  <c:v>155.79482492717199</c:v>
                </c:pt>
                <c:pt idx="91">
                  <c:v>154.95312301753694</c:v>
                </c:pt>
                <c:pt idx="92">
                  <c:v>154.1209845068455</c:v>
                </c:pt>
                <c:pt idx="93">
                  <c:v>153.29824732710526</c:v>
                </c:pt>
                <c:pt idx="94">
                  <c:v>152.48475305177601</c:v>
                </c:pt>
                <c:pt idx="95">
                  <c:v>151.68034679406736</c:v>
                </c:pt>
                <c:pt idx="96">
                  <c:v>150.88487710862674</c:v>
                </c:pt>
                <c:pt idx="97">
                  <c:v>150.09819589648527</c:v>
                </c:pt>
                <c:pt idx="98">
                  <c:v>149.32015831313734</c:v>
                </c:pt>
                <c:pt idx="99">
                  <c:v>148.55062267963316</c:v>
                </c:pt>
                <c:pt idx="100">
                  <c:v>147.78945039657023</c:v>
                </c:pt>
              </c:numCache>
            </c:numRef>
          </c:val>
          <c:smooth val="0"/>
        </c:ser>
        <c:ser>
          <c:idx val="0"/>
          <c:order val="1"/>
          <c:tx>
            <c:v>VIN-nom</c:v>
          </c:tx>
          <c:spPr>
            <a:ln w="28575">
              <a:solidFill>
                <a:srgbClr val="FF0000"/>
              </a:solidFill>
              <a:prstDash val="lgDash"/>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345.02683574736409</c:v>
                </c:pt>
                <c:pt idx="53">
                  <c:v>338.51689545024414</c:v>
                </c:pt>
                <c:pt idx="54">
                  <c:v>332.24806405301734</c:v>
                </c:pt>
                <c:pt idx="55">
                  <c:v>326.20719016114424</c:v>
                </c:pt>
                <c:pt idx="56">
                  <c:v>320.38206176540962</c:v>
                </c:pt>
                <c:pt idx="57">
                  <c:v>314.76132383970071</c:v>
                </c:pt>
                <c:pt idx="58">
                  <c:v>309.33440446315421</c:v>
                </c:pt>
                <c:pt idx="59">
                  <c:v>304.09144845530398</c:v>
                </c:pt>
                <c:pt idx="60">
                  <c:v>299.0232576477157</c:v>
                </c:pt>
                <c:pt idx="61">
                  <c:v>294.12123703053999</c:v>
                </c:pt>
                <c:pt idx="62">
                  <c:v>289.37734611069254</c:v>
                </c:pt>
                <c:pt idx="63">
                  <c:v>284.78405490258638</c:v>
                </c:pt>
                <c:pt idx="64">
                  <c:v>280.33430404473341</c:v>
                </c:pt>
                <c:pt idx="65">
                  <c:v>276.02146859789133</c:v>
                </c:pt>
                <c:pt idx="66">
                  <c:v>271.83932513428698</c:v>
                </c:pt>
                <c:pt idx="67">
                  <c:v>267.78202177407371</c:v>
                </c:pt>
                <c:pt idx="68">
                  <c:v>263.84405086563146</c:v>
                </c:pt>
                <c:pt idx="69">
                  <c:v>260.02022404149187</c:v>
                </c:pt>
                <c:pt idx="70">
                  <c:v>256.30564941232774</c:v>
                </c:pt>
                <c:pt idx="71">
                  <c:v>252.69571068821045</c:v>
                </c:pt>
                <c:pt idx="72">
                  <c:v>249.18604803976308</c:v>
                </c:pt>
                <c:pt idx="73">
                  <c:v>245.77254053236905</c:v>
                </c:pt>
                <c:pt idx="74">
                  <c:v>242.45128998463434</c:v>
                </c:pt>
                <c:pt idx="75">
                  <c:v>239.21860611817246</c:v>
                </c:pt>
                <c:pt idx="76">
                  <c:v>236.0709928797755</c:v>
                </c:pt>
                <c:pt idx="77">
                  <c:v>233.00513582938882</c:v>
                </c:pt>
                <c:pt idx="78">
                  <c:v>230.01789049824279</c:v>
                </c:pt>
                <c:pt idx="79">
                  <c:v>227.10627163117641</c:v>
                </c:pt>
                <c:pt idx="80">
                  <c:v>224.26744323578671</c:v>
                </c:pt>
                <c:pt idx="81">
                  <c:v>222.60018362933715</c:v>
                </c:pt>
                <c:pt idx="82">
                  <c:v>221.19171485436158</c:v>
                </c:pt>
                <c:pt idx="83">
                  <c:v>219.80166081074259</c:v>
                </c:pt>
                <c:pt idx="84">
                  <c:v>218.42966270461915</c:v>
                </c:pt>
                <c:pt idx="85">
                  <c:v>217.07537100300166</c:v>
                </c:pt>
                <c:pt idx="86">
                  <c:v>215.73844513689639</c:v>
                </c:pt>
                <c:pt idx="87">
                  <c:v>214.41855321577634</c:v>
                </c:pt>
                <c:pt idx="88">
                  <c:v>213.11537175289791</c:v>
                </c:pt>
                <c:pt idx="89">
                  <c:v>211.82858540098408</c:v>
                </c:pt>
                <c:pt idx="90">
                  <c:v>210.55788669782177</c:v>
                </c:pt>
                <c:pt idx="91">
                  <c:v>209.30297582134105</c:v>
                </c:pt>
                <c:pt idx="92">
                  <c:v>208.06356035376777</c:v>
                </c:pt>
                <c:pt idx="93">
                  <c:v>206.83935505445868</c:v>
                </c:pt>
                <c:pt idx="94">
                  <c:v>205.63008164104917</c:v>
                </c:pt>
                <c:pt idx="95">
                  <c:v>204.43546857856026</c:v>
                </c:pt>
                <c:pt idx="96">
                  <c:v>203.25525087613002</c:v>
                </c:pt>
                <c:pt idx="97">
                  <c:v>202.08916989104893</c:v>
                </c:pt>
                <c:pt idx="98">
                  <c:v>200.9369731397951</c:v>
                </c:pt>
                <c:pt idx="99">
                  <c:v>199.79841411577982</c:v>
                </c:pt>
                <c:pt idx="100">
                  <c:v>198.67325211352602</c:v>
                </c:pt>
              </c:numCache>
            </c:numRef>
          </c:val>
          <c:smooth val="0"/>
        </c:ser>
        <c:ser>
          <c:idx val="2"/>
          <c:order val="2"/>
          <c:tx>
            <c:v>VIN-max</c:v>
          </c:tx>
          <c:spPr>
            <a:ln>
              <a:solidFill>
                <a:srgbClr val="0000FF"/>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Dual'!$AM$218:$AM$318</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Dual'!$CE$110:$CE$210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180.50859386086347</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FF0000"/>
                </a:solidFill>
              </a:ln>
            </c:spPr>
          </c:marker>
          <c:dPt>
            <c:idx val="65"/>
            <c:bubble3D val="0"/>
          </c:dPt>
          <c:dPt>
            <c:idx val="92"/>
            <c:bubble3D val="0"/>
          </c:dPt>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Dual'!$CE$5:$CE$105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0000FF"/>
                </a:solidFill>
              </a:ln>
            </c:spPr>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Dual'!$CE$218:$CE$318</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161082752"/>
        <c:axId val="164235136"/>
      </c:lineChart>
      <c:catAx>
        <c:axId val="161082752"/>
        <c:scaling>
          <c:orientation val="minMax"/>
        </c:scaling>
        <c:delete val="0"/>
        <c:axPos val="b"/>
        <c:majorGridlines>
          <c:spPr>
            <a:ln w="15875">
              <a:solidFill>
                <a:srgbClr val="969696"/>
              </a:solidFill>
              <a:prstDash val="sysDash"/>
            </a:ln>
          </c:spPr>
        </c:majorGridlines>
        <c:title>
          <c:tx>
            <c:rich>
              <a:bodyPr/>
              <a:lstStyle/>
              <a:p>
                <a:pPr>
                  <a:defRPr sz="1000" b="1" i="0" u="none" strike="noStrike" baseline="0">
                    <a:solidFill>
                      <a:schemeClr val="tx1"/>
                    </a:solidFill>
                    <a:latin typeface="Arial" pitchFamily="34" charset="0"/>
                    <a:ea typeface="Calibri"/>
                    <a:cs typeface="Arial" pitchFamily="34" charset="0"/>
                  </a:defRPr>
                </a:pPr>
                <a:r>
                  <a:rPr lang="en-US" sz="1200" b="1" i="0" baseline="0">
                    <a:effectLst/>
                  </a:rPr>
                  <a:t>% Total Rated Output Power</a:t>
                </a:r>
                <a:endParaRPr lang="en-US" sz="1000">
                  <a:effectLst/>
                </a:endParaRPr>
              </a:p>
            </c:rich>
          </c:tx>
          <c:layout>
            <c:manualLayout>
              <c:xMode val="edge"/>
              <c:yMode val="edge"/>
              <c:x val="0.4098432024821038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64235136"/>
        <c:crosses val="autoZero"/>
        <c:auto val="1"/>
        <c:lblAlgn val="ctr"/>
        <c:lblOffset val="100"/>
        <c:tickLblSkip val="20"/>
        <c:tickMarkSkip val="10"/>
        <c:noMultiLvlLbl val="0"/>
      </c:catAx>
      <c:valAx>
        <c:axId val="164235136"/>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61082752"/>
        <c:crossesAt val="0"/>
        <c:crossBetween val="between"/>
        <c:majorUnit val="50"/>
        <c:minorUnit val="25"/>
      </c:valAx>
      <c:spPr>
        <a:solidFill>
          <a:srgbClr val="FFFFFF"/>
        </a:solidFill>
        <a:ln w="25400">
          <a:noFill/>
        </a:ln>
      </c:spPr>
    </c:plotArea>
    <c:legend>
      <c:legendPos val="t"/>
      <c:legendEntry>
        <c:idx val="3"/>
        <c:delete val="1"/>
      </c:legendEntry>
      <c:legendEntry>
        <c:idx val="4"/>
        <c:delete val="1"/>
      </c:legendEntry>
      <c:legendEntry>
        <c:idx val="5"/>
        <c:delete val="1"/>
      </c:legendEntry>
      <c:layout>
        <c:manualLayout>
          <c:xMode val="edge"/>
          <c:yMode val="edge"/>
          <c:x val="0.31258613484968906"/>
          <c:y val="1.9480197482498431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Single'!$AK$110:$AK$210</c:f>
              <c:numCache>
                <c:formatCode>0.000</c:formatCode>
                <c:ptCount val="101"/>
                <c:pt idx="0">
                  <c:v>1.0068571428571429</c:v>
                </c:pt>
                <c:pt idx="1">
                  <c:v>1.0237953599048186</c:v>
                </c:pt>
                <c:pt idx="2">
                  <c:v>1.0475907198096372</c:v>
                </c:pt>
                <c:pt idx="3">
                  <c:v>1.0713860797144557</c:v>
                </c:pt>
                <c:pt idx="4">
                  <c:v>1.0951814396192743</c:v>
                </c:pt>
                <c:pt idx="5">
                  <c:v>1.1189767995240929</c:v>
                </c:pt>
                <c:pt idx="6">
                  <c:v>1.1427721594289113</c:v>
                </c:pt>
                <c:pt idx="7">
                  <c:v>1.1665675193337299</c:v>
                </c:pt>
                <c:pt idx="8">
                  <c:v>1.1903628792385486</c:v>
                </c:pt>
                <c:pt idx="9">
                  <c:v>1.2211319536473015</c:v>
                </c:pt>
                <c:pt idx="10">
                  <c:v>1.2551312525925304</c:v>
                </c:pt>
                <c:pt idx="11">
                  <c:v>1.2874690014553229</c:v>
                </c:pt>
                <c:pt idx="12">
                  <c:v>1.3183673311950157</c:v>
                </c:pt>
                <c:pt idx="13">
                  <c:v>1.3480028909026349</c:v>
                </c:pt>
                <c:pt idx="14">
                  <c:v>1.3765189069821009</c:v>
                </c:pt>
                <c:pt idx="15">
                  <c:v>1.404033418526172</c:v>
                </c:pt>
                <c:pt idx="16">
                  <c:v>1.4306450739988712</c:v>
                </c:pt>
                <c:pt idx="17">
                  <c:v>1.4564373177548595</c:v>
                </c:pt>
                <c:pt idx="18">
                  <c:v>1.4814814814814814</c:v>
                </c:pt>
                <c:pt idx="19">
                  <c:v>1.5058391115509595</c:v>
                </c:pt>
                <c:pt idx="20">
                  <c:v>1.5295637511610014</c:v>
                </c:pt>
                <c:pt idx="21">
                  <c:v>1.5527023256900534</c:v>
                </c:pt>
                <c:pt idx="22">
                  <c:v>1.5752962341793779</c:v>
                </c:pt>
                <c:pt idx="23">
                  <c:v>1.597382219722262</c:v>
                </c:pt>
                <c:pt idx="24">
                  <c:v>1.6189930711519274</c:v>
                </c:pt>
                <c:pt idx="25">
                  <c:v>1.6401581943504409</c:v>
                </c:pt>
                <c:pt idx="26">
                  <c:v>1.66090408161896</c:v>
                </c:pt>
                <c:pt idx="27">
                  <c:v>1.6812547004962275</c:v>
                </c:pt>
                <c:pt idx="28">
                  <c:v>1.7012318183033901</c:v>
                </c:pt>
                <c:pt idx="29">
                  <c:v>1.7208552749428012</c:v>
                </c:pt>
                <c:pt idx="30">
                  <c:v>1.7401432136910864</c:v>
                </c:pt>
                <c:pt idx="31">
                  <c:v>1.7591122776313795</c:v>
                </c:pt>
                <c:pt idx="32">
                  <c:v>1.7777777777777777</c:v>
                </c:pt>
                <c:pt idx="33">
                  <c:v>1.796153837723846</c:v>
                </c:pt>
                <c:pt idx="34">
                  <c:v>1.8142535187015292</c:v>
                </c:pt>
                <c:pt idx="35">
                  <c:v>1.8320889281986306</c:v>
                </c:pt>
                <c:pt idx="36">
                  <c:v>1.8496713147020105</c:v>
                </c:pt>
                <c:pt idx="37">
                  <c:v>1.8670111506729816</c:v>
                </c:pt>
                <c:pt idx="38">
                  <c:v>1.8841182054935333</c:v>
                </c:pt>
                <c:pt idx="39">
                  <c:v>1.9010016098263478</c:v>
                </c:pt>
                <c:pt idx="40">
                  <c:v>1.9176699125924683</c:v>
                </c:pt>
                <c:pt idx="41">
                  <c:v>1.9341311315759135</c:v>
                </c:pt>
                <c:pt idx="42">
                  <c:v>1.9503927985054343</c:v>
                </c:pt>
                <c:pt idx="43">
                  <c:v>1.9664619993326968</c:v>
                </c:pt>
                <c:pt idx="44">
                  <c:v>1.9823454103180533</c:v>
                </c:pt>
                <c:pt idx="45">
                  <c:v>1.9980493304452056</c:v>
                </c:pt>
                <c:pt idx="46">
                  <c:v>2.0135797106111761</c:v>
                </c:pt>
                <c:pt idx="47">
                  <c:v>2.0289421799752088</c:v>
                </c:pt>
                <c:pt idx="48">
                  <c:v>2.0441420697974388</c:v>
                </c:pt>
                <c:pt idx="49">
                  <c:v>2.05918443505358</c:v>
                </c:pt>
                <c:pt idx="50">
                  <c:v>2.074074074074074</c:v>
                </c:pt>
                <c:pt idx="51">
                  <c:v>2.0888155464240117</c:v>
                </c:pt>
                <c:pt idx="52">
                  <c:v>2.1034131892126773</c:v>
                </c:pt>
                <c:pt idx="53">
                  <c:v>2.1178711319980743</c:v>
                </c:pt>
                <c:pt idx="54">
                  <c:v>2.1321933104315951</c:v>
                </c:pt>
                <c:pt idx="55">
                  <c:v>2.1463834787705949</c:v>
                </c:pt>
                <c:pt idx="56">
                  <c:v>2.1604452213716092</c:v>
                </c:pt>
                <c:pt idx="57">
                  <c:v>2.2373393801965236</c:v>
                </c:pt>
                <c:pt idx="58">
                  <c:v>2.2661945869965923</c:v>
                </c:pt>
                <c:pt idx="59">
                  <c:v>2.295049793796661</c:v>
                </c:pt>
                <c:pt idx="60">
                  <c:v>2.3239050005967301</c:v>
                </c:pt>
                <c:pt idx="61">
                  <c:v>2.3527602073967993</c:v>
                </c:pt>
                <c:pt idx="62">
                  <c:v>2.3816154141968684</c:v>
                </c:pt>
                <c:pt idx="63">
                  <c:v>2.4104706209969375</c:v>
                </c:pt>
                <c:pt idx="64">
                  <c:v>2.4393258277970062</c:v>
                </c:pt>
                <c:pt idx="65">
                  <c:v>2.4681810345970754</c:v>
                </c:pt>
                <c:pt idx="66">
                  <c:v>2.4970362413971445</c:v>
                </c:pt>
                <c:pt idx="67">
                  <c:v>2.5258914481972132</c:v>
                </c:pt>
                <c:pt idx="68">
                  <c:v>2.5547466549972824</c:v>
                </c:pt>
                <c:pt idx="69">
                  <c:v>2.5836018617973506</c:v>
                </c:pt>
                <c:pt idx="70">
                  <c:v>2.6124570685974198</c:v>
                </c:pt>
                <c:pt idx="71">
                  <c:v>2.6413122753974889</c:v>
                </c:pt>
                <c:pt idx="72">
                  <c:v>2.6701674821975576</c:v>
                </c:pt>
                <c:pt idx="73">
                  <c:v>2.6990226889976263</c:v>
                </c:pt>
                <c:pt idx="74">
                  <c:v>2.7278778957976959</c:v>
                </c:pt>
                <c:pt idx="75">
                  <c:v>2.7567331025977655</c:v>
                </c:pt>
                <c:pt idx="76">
                  <c:v>2.7855883093978342</c:v>
                </c:pt>
                <c:pt idx="77">
                  <c:v>2.8144435161979029</c:v>
                </c:pt>
                <c:pt idx="78">
                  <c:v>2.843298722997972</c:v>
                </c:pt>
                <c:pt idx="79">
                  <c:v>2.8721539297980412</c:v>
                </c:pt>
                <c:pt idx="80">
                  <c:v>2.9010091365981099</c:v>
                </c:pt>
                <c:pt idx="81">
                  <c:v>2.9298643433981786</c:v>
                </c:pt>
                <c:pt idx="82">
                  <c:v>2.9587195501982473</c:v>
                </c:pt>
                <c:pt idx="83">
                  <c:v>2.9875747569983169</c:v>
                </c:pt>
                <c:pt idx="84">
                  <c:v>3.0164299637983856</c:v>
                </c:pt>
                <c:pt idx="85">
                  <c:v>3.0452851705984547</c:v>
                </c:pt>
                <c:pt idx="86">
                  <c:v>3.0741403773985234</c:v>
                </c:pt>
                <c:pt idx="87">
                  <c:v>3.1029955841985926</c:v>
                </c:pt>
                <c:pt idx="88">
                  <c:v>3.1318507909986613</c:v>
                </c:pt>
                <c:pt idx="89">
                  <c:v>3.1607059977987308</c:v>
                </c:pt>
                <c:pt idx="90">
                  <c:v>3.1895612045987995</c:v>
                </c:pt>
                <c:pt idx="91">
                  <c:v>3.2184164113988682</c:v>
                </c:pt>
                <c:pt idx="92">
                  <c:v>3.2472716181989369</c:v>
                </c:pt>
                <c:pt idx="93">
                  <c:v>3.2761268249990065</c:v>
                </c:pt>
                <c:pt idx="94">
                  <c:v>3.3049820317990752</c:v>
                </c:pt>
                <c:pt idx="95">
                  <c:v>3.3338372385991439</c:v>
                </c:pt>
                <c:pt idx="96">
                  <c:v>3.3626924453992135</c:v>
                </c:pt>
                <c:pt idx="97">
                  <c:v>3.3915476521992822</c:v>
                </c:pt>
                <c:pt idx="98">
                  <c:v>3.4204028589993509</c:v>
                </c:pt>
                <c:pt idx="99">
                  <c:v>3.4492580657994196</c:v>
                </c:pt>
                <c:pt idx="100">
                  <c:v>3.4781132725994892</c:v>
                </c:pt>
              </c:numCache>
            </c:numRef>
          </c:val>
          <c:smooth val="0"/>
        </c:ser>
        <c:ser>
          <c:idx val="0"/>
          <c:order val="1"/>
          <c:tx>
            <c:v>VIN-nom</c:v>
          </c:tx>
          <c:spPr>
            <a:ln w="28575">
              <a:solidFill>
                <a:srgbClr val="0000FF"/>
              </a:solidFill>
              <a:prstDash val="lgDash"/>
            </a:ln>
          </c:spPr>
          <c:marker>
            <c:symbol val="none"/>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Single'!$AK$5:$AK$105</c:f>
              <c:numCache>
                <c:formatCode>0.000</c:formatCode>
                <c:ptCount val="101"/>
                <c:pt idx="0">
                  <c:v>1.0068571428571429</c:v>
                </c:pt>
                <c:pt idx="1">
                  <c:v>1.0237953599048186</c:v>
                </c:pt>
                <c:pt idx="2">
                  <c:v>1.0475907198096372</c:v>
                </c:pt>
                <c:pt idx="3">
                  <c:v>1.0713860797144557</c:v>
                </c:pt>
                <c:pt idx="4">
                  <c:v>1.0951814396192743</c:v>
                </c:pt>
                <c:pt idx="5">
                  <c:v>1.1189767995240929</c:v>
                </c:pt>
                <c:pt idx="6">
                  <c:v>1.1427721594289113</c:v>
                </c:pt>
                <c:pt idx="7">
                  <c:v>1.1665675193337299</c:v>
                </c:pt>
                <c:pt idx="8">
                  <c:v>1.1903628792385486</c:v>
                </c:pt>
                <c:pt idx="9">
                  <c:v>1.2374603704681586</c:v>
                </c:pt>
                <c:pt idx="10">
                  <c:v>1.2723429151720349</c:v>
                </c:pt>
                <c:pt idx="11">
                  <c:v>1.3055207454604265</c:v>
                </c:pt>
                <c:pt idx="12">
                  <c:v>1.3372217628889402</c:v>
                </c:pt>
                <c:pt idx="13">
                  <c:v>1.3676272056008845</c:v>
                </c:pt>
                <c:pt idx="14">
                  <c:v>1.3968840207861288</c:v>
                </c:pt>
                <c:pt idx="15">
                  <c:v>1.4251133139985428</c:v>
                </c:pt>
                <c:pt idx="16">
                  <c:v>1.4524162964266807</c:v>
                </c:pt>
                <c:pt idx="17">
                  <c:v>1.4788785801720279</c:v>
                </c:pt>
                <c:pt idx="18">
                  <c:v>1.5045733500016185</c:v>
                </c:pt>
                <c:pt idx="19">
                  <c:v>1.5295637511610014</c:v>
                </c:pt>
                <c:pt idx="20">
                  <c:v>1.5539047178119263</c:v>
                </c:pt>
                <c:pt idx="21">
                  <c:v>1.5776443943768426</c:v>
                </c:pt>
                <c:pt idx="22">
                  <c:v>1.6008252553758826</c:v>
                </c:pt>
                <c:pt idx="23">
                  <c:v>1.6234849984273474</c:v>
                </c:pt>
                <c:pt idx="24">
                  <c:v>1.6456572641643124</c:v>
                </c:pt>
                <c:pt idx="25">
                  <c:v>1.6673722223852026</c:v>
                </c:pt>
                <c:pt idx="26">
                  <c:v>1.6886570536175021</c:v>
                </c:pt>
                <c:pt idx="27">
                  <c:v>1.709536348037114</c:v>
                </c:pt>
                <c:pt idx="28">
                  <c:v>1.7300324384443178</c:v>
                </c:pt>
                <c:pt idx="29">
                  <c:v>1.7501656801494354</c:v>
                </c:pt>
                <c:pt idx="30">
                  <c:v>1.7699546877615204</c:v>
                </c:pt>
                <c:pt idx="31">
                  <c:v>1.7894165367235801</c:v>
                </c:pt>
                <c:pt idx="32">
                  <c:v>1.808566935804627</c:v>
                </c:pt>
                <c:pt idx="33">
                  <c:v>1.8274203755059122</c:v>
                </c:pt>
                <c:pt idx="34">
                  <c:v>1.8459902563686625</c:v>
                </c:pt>
                <c:pt idx="35">
                  <c:v>1.8642890004132624</c:v>
                </c:pt>
                <c:pt idx="36">
                  <c:v>1.8823281483437244</c:v>
                </c:pt>
                <c:pt idx="37">
                  <c:v>1.9001184446786485</c:v>
                </c:pt>
                <c:pt idx="38">
                  <c:v>1.9176699125924683</c:v>
                </c:pt>
                <c:pt idx="39">
                  <c:v>1.9349919199474368</c:v>
                </c:pt>
                <c:pt idx="40">
                  <c:v>1.9520932377514775</c:v>
                </c:pt>
                <c:pt idx="41">
                  <c:v>1.9689820920774257</c:v>
                </c:pt>
                <c:pt idx="42">
                  <c:v>1.9856662103159328</c:v>
                </c:pt>
                <c:pt idx="43">
                  <c:v>2.0021528625000129</c:v>
                </c:pt>
                <c:pt idx="44">
                  <c:v>2.0184488983282605</c:v>
                </c:pt>
                <c:pt idx="45">
                  <c:v>2.0345607804215931</c:v>
                </c:pt>
                <c:pt idx="46">
                  <c:v>2.0504946142715315</c:v>
                </c:pt>
                <c:pt idx="47">
                  <c:v>2.0662561752736002</c:v>
                </c:pt>
                <c:pt idx="48">
                  <c:v>2.0818509331852879</c:v>
                </c:pt>
                <c:pt idx="49">
                  <c:v>2.0972840743022467</c:v>
                </c:pt>
                <c:pt idx="50">
                  <c:v>2.112560521607636</c:v>
                </c:pt>
                <c:pt idx="51">
                  <c:v>2.1276849531165336</c:v>
                </c:pt>
                <c:pt idx="52">
                  <c:v>2.1426618186091764</c:v>
                </c:pt>
                <c:pt idx="53">
                  <c:v>2.1574953549226796</c:v>
                </c:pt>
                <c:pt idx="54">
                  <c:v>2.1721895999501726</c:v>
                </c:pt>
                <c:pt idx="55">
                  <c:v>2.186748405478431</c:v>
                </c:pt>
                <c:pt idx="56">
                  <c:v>2.2011754489796651</c:v>
                </c:pt>
                <c:pt idx="57">
                  <c:v>2.2154742444597515</c:v>
                </c:pt>
                <c:pt idx="58">
                  <c:v>2.2296481524535778</c:v>
                </c:pt>
                <c:pt idx="59">
                  <c:v>2.2437003892480534</c:v>
                </c:pt>
                <c:pt idx="60">
                  <c:v>2.257634035404493</c:v>
                </c:pt>
                <c:pt idx="61">
                  <c:v>2.2714520436443539</c:v>
                </c:pt>
                <c:pt idx="62">
                  <c:v>2.285157246155495</c:v>
                </c:pt>
                <c:pt idx="63">
                  <c:v>2.2987523613701804</c:v>
                </c:pt>
                <c:pt idx="64">
                  <c:v>2.3122400002607688</c:v>
                </c:pt>
                <c:pt idx="65">
                  <c:v>2.3256226721943758</c:v>
                </c:pt>
                <c:pt idx="66">
                  <c:v>2.3389027903837092</c:v>
                </c:pt>
                <c:pt idx="67">
                  <c:v>2.3520826769675898</c:v>
                </c:pt>
                <c:pt idx="68">
                  <c:v>2.3651645677514632</c:v>
                </c:pt>
                <c:pt idx="69">
                  <c:v>2.3781506166353021</c:v>
                </c:pt>
                <c:pt idx="70">
                  <c:v>2.3910428997537303</c:v>
                </c:pt>
                <c:pt idx="71">
                  <c:v>2.4038434193509071</c:v>
                </c:pt>
                <c:pt idx="72">
                  <c:v>2.4165541074106445</c:v>
                </c:pt>
                <c:pt idx="73">
                  <c:v>2.4291768290604026</c:v>
                </c:pt>
                <c:pt idx="74">
                  <c:v>2.4417133857661302</c:v>
                </c:pt>
                <c:pt idx="75">
                  <c:v>2.4541655183334621</c:v>
                </c:pt>
                <c:pt idx="76">
                  <c:v>2.4665349097294103</c:v>
                </c:pt>
                <c:pt idx="77">
                  <c:v>2.4788231877375209</c:v>
                </c:pt>
                <c:pt idx="78">
                  <c:v>2.4910319274583337</c:v>
                </c:pt>
                <c:pt idx="79">
                  <c:v>2.5031626536660312</c:v>
                </c:pt>
                <c:pt idx="80">
                  <c:v>2.5152168430312605</c:v>
                </c:pt>
                <c:pt idx="81">
                  <c:v>2.5271959262192909</c:v>
                </c:pt>
                <c:pt idx="82">
                  <c:v>2.5391012898719598</c:v>
                </c:pt>
                <c:pt idx="83">
                  <c:v>2.5509342784811668</c:v>
                </c:pt>
                <c:pt idx="84">
                  <c:v>2.5626961961610926</c:v>
                </c:pt>
                <c:pt idx="85">
                  <c:v>2.5743883083257444</c:v>
                </c:pt>
                <c:pt idx="86">
                  <c:v>2.5972939403181678</c:v>
                </c:pt>
                <c:pt idx="87">
                  <c:v>2.620604421105674</c:v>
                </c:pt>
                <c:pt idx="88">
                  <c:v>2.6439149018931811</c:v>
                </c:pt>
                <c:pt idx="89">
                  <c:v>2.6672253826806878</c:v>
                </c:pt>
                <c:pt idx="90">
                  <c:v>2.6905358634681944</c:v>
                </c:pt>
                <c:pt idx="91">
                  <c:v>2.7138463442557015</c:v>
                </c:pt>
                <c:pt idx="92">
                  <c:v>2.7371568250432077</c:v>
                </c:pt>
                <c:pt idx="93">
                  <c:v>2.7604673058307148</c:v>
                </c:pt>
                <c:pt idx="94">
                  <c:v>2.783777786618221</c:v>
                </c:pt>
                <c:pt idx="95">
                  <c:v>2.807088267405728</c:v>
                </c:pt>
                <c:pt idx="96">
                  <c:v>2.8303987481932347</c:v>
                </c:pt>
                <c:pt idx="97">
                  <c:v>2.8537092289807413</c:v>
                </c:pt>
                <c:pt idx="98">
                  <c:v>2.8770197097682484</c:v>
                </c:pt>
                <c:pt idx="99">
                  <c:v>2.900330190555755</c:v>
                </c:pt>
                <c:pt idx="100">
                  <c:v>2.9236406713432617</c:v>
                </c:pt>
              </c:numCache>
            </c:numRef>
          </c:val>
          <c:smooth val="0"/>
        </c:ser>
        <c:ser>
          <c:idx val="2"/>
          <c:order val="2"/>
          <c:tx>
            <c:v>VIN-max</c:v>
          </c:tx>
          <c:spPr>
            <a:ln>
              <a:solidFill>
                <a:srgbClr val="FF0000"/>
              </a:solidFill>
              <a:prstDash val="solid"/>
            </a:ln>
          </c:spPr>
          <c:marker>
            <c:symbol val="none"/>
          </c:marker>
          <c:val>
            <c:numRef>
              <c:f>'Calculations - Single'!$AK$217:$AK$317</c:f>
              <c:numCache>
                <c:formatCode>0.000</c:formatCode>
                <c:ptCount val="101"/>
                <c:pt idx="0">
                  <c:v>1.0068571428571429</c:v>
                </c:pt>
                <c:pt idx="1">
                  <c:v>1.0237953599048186</c:v>
                </c:pt>
                <c:pt idx="2">
                  <c:v>1.0475907198096372</c:v>
                </c:pt>
                <c:pt idx="3">
                  <c:v>1.0713860797144557</c:v>
                </c:pt>
                <c:pt idx="4">
                  <c:v>1.0951814396192743</c:v>
                </c:pt>
                <c:pt idx="5">
                  <c:v>1.1189767995240929</c:v>
                </c:pt>
                <c:pt idx="6">
                  <c:v>1.1427721594289113</c:v>
                </c:pt>
                <c:pt idx="7">
                  <c:v>1.1665675193337299</c:v>
                </c:pt>
                <c:pt idx="8">
                  <c:v>1.1903628792385486</c:v>
                </c:pt>
                <c:pt idx="9">
                  <c:v>1.2211319536473015</c:v>
                </c:pt>
                <c:pt idx="10">
                  <c:v>1.2551312525925304</c:v>
                </c:pt>
                <c:pt idx="11">
                  <c:v>1.2874690014553229</c:v>
                </c:pt>
                <c:pt idx="12">
                  <c:v>1.3183673311950157</c:v>
                </c:pt>
                <c:pt idx="13">
                  <c:v>1.3480028909026349</c:v>
                </c:pt>
                <c:pt idx="14">
                  <c:v>1.3765189069821009</c:v>
                </c:pt>
                <c:pt idx="15">
                  <c:v>1.404033418526172</c:v>
                </c:pt>
                <c:pt idx="16">
                  <c:v>1.4306450739988712</c:v>
                </c:pt>
                <c:pt idx="17">
                  <c:v>1.4564373177548595</c:v>
                </c:pt>
                <c:pt idx="18">
                  <c:v>1.4814814814814814</c:v>
                </c:pt>
                <c:pt idx="19">
                  <c:v>1.5058391115509595</c:v>
                </c:pt>
                <c:pt idx="20">
                  <c:v>1.5295637511610014</c:v>
                </c:pt>
                <c:pt idx="21">
                  <c:v>1.5527023256900534</c:v>
                </c:pt>
                <c:pt idx="22">
                  <c:v>1.5752962341793779</c:v>
                </c:pt>
                <c:pt idx="23">
                  <c:v>1.597382219722262</c:v>
                </c:pt>
                <c:pt idx="24">
                  <c:v>1.6189930711519274</c:v>
                </c:pt>
                <c:pt idx="25">
                  <c:v>1.6401581943504409</c:v>
                </c:pt>
                <c:pt idx="26">
                  <c:v>1.66090408161896</c:v>
                </c:pt>
                <c:pt idx="27">
                  <c:v>1.6812547004962275</c:v>
                </c:pt>
                <c:pt idx="28">
                  <c:v>1.7012318183033901</c:v>
                </c:pt>
                <c:pt idx="29">
                  <c:v>1.7208552749428012</c:v>
                </c:pt>
                <c:pt idx="30">
                  <c:v>1.7401432136910864</c:v>
                </c:pt>
                <c:pt idx="31">
                  <c:v>1.7591122776313795</c:v>
                </c:pt>
                <c:pt idx="32">
                  <c:v>1.7777777777777777</c:v>
                </c:pt>
                <c:pt idx="33">
                  <c:v>1.796153837723846</c:v>
                </c:pt>
                <c:pt idx="34">
                  <c:v>1.8142535187015292</c:v>
                </c:pt>
                <c:pt idx="35">
                  <c:v>1.8320889281986306</c:v>
                </c:pt>
                <c:pt idx="36">
                  <c:v>1.8496713147020105</c:v>
                </c:pt>
                <c:pt idx="37">
                  <c:v>1.8670111506729816</c:v>
                </c:pt>
                <c:pt idx="38">
                  <c:v>1.8841182054935333</c:v>
                </c:pt>
                <c:pt idx="39">
                  <c:v>1.9010016098263478</c:v>
                </c:pt>
                <c:pt idx="40">
                  <c:v>1.9176699125924683</c:v>
                </c:pt>
                <c:pt idx="41">
                  <c:v>1.9341311315759135</c:v>
                </c:pt>
                <c:pt idx="42">
                  <c:v>1.9503927985054343</c:v>
                </c:pt>
                <c:pt idx="43">
                  <c:v>1.9664619993326968</c:v>
                </c:pt>
                <c:pt idx="44">
                  <c:v>1.9823454103180533</c:v>
                </c:pt>
                <c:pt idx="45">
                  <c:v>1.9980493304452056</c:v>
                </c:pt>
                <c:pt idx="46">
                  <c:v>2.0135797106111761</c:v>
                </c:pt>
                <c:pt idx="47">
                  <c:v>2.0289421799752088</c:v>
                </c:pt>
                <c:pt idx="48">
                  <c:v>2.0441420697974388</c:v>
                </c:pt>
                <c:pt idx="49">
                  <c:v>2.05918443505358</c:v>
                </c:pt>
                <c:pt idx="50">
                  <c:v>2.074074074074074</c:v>
                </c:pt>
                <c:pt idx="51">
                  <c:v>2.0888155464240117</c:v>
                </c:pt>
                <c:pt idx="52">
                  <c:v>2.1034131892126773</c:v>
                </c:pt>
                <c:pt idx="53">
                  <c:v>2.1178711319980743</c:v>
                </c:pt>
                <c:pt idx="54">
                  <c:v>2.1321933104315951</c:v>
                </c:pt>
                <c:pt idx="55">
                  <c:v>2.1463834787705949</c:v>
                </c:pt>
                <c:pt idx="56">
                  <c:v>2.1604452213716092</c:v>
                </c:pt>
                <c:pt idx="57">
                  <c:v>2.1743819632638979</c:v>
                </c:pt>
                <c:pt idx="58">
                  <c:v>2.1881969798917047</c:v>
                </c:pt>
                <c:pt idx="59">
                  <c:v>2.2018934061037356</c:v>
                </c:pt>
                <c:pt idx="60">
                  <c:v>2.2154742444597515</c:v>
                </c:pt>
                <c:pt idx="61">
                  <c:v>2.2289423729166313</c:v>
                </c:pt>
                <c:pt idx="62">
                  <c:v>2.2423005519496364</c:v>
                </c:pt>
                <c:pt idx="63">
                  <c:v>2.2555514311587888</c:v>
                </c:pt>
                <c:pt idx="64">
                  <c:v>2.2686975554051498</c:v>
                </c:pt>
                <c:pt idx="65">
                  <c:v>2.2817413705172416</c:v>
                </c:pt>
                <c:pt idx="66">
                  <c:v>2.2946852286038601</c:v>
                </c:pt>
                <c:pt idx="67">
                  <c:v>2.3075313930059593</c:v>
                </c:pt>
                <c:pt idx="68">
                  <c:v>2.3202820429171265</c:v>
                </c:pt>
                <c:pt idx="69">
                  <c:v>2.3329392776993676</c:v>
                </c:pt>
                <c:pt idx="70">
                  <c:v>2.3455051209184048</c:v>
                </c:pt>
                <c:pt idx="71">
                  <c:v>2.3579815241204418</c:v>
                </c:pt>
                <c:pt idx="72">
                  <c:v>2.3703703703703702</c:v>
                </c:pt>
                <c:pt idx="73">
                  <c:v>2.3826734775695666</c:v>
                </c:pt>
                <c:pt idx="74">
                  <c:v>2.3948926015698428</c:v>
                </c:pt>
                <c:pt idx="75">
                  <c:v>2.4070294390986504</c:v>
                </c:pt>
                <c:pt idx="76">
                  <c:v>2.4190856305093269</c:v>
                </c:pt>
                <c:pt idx="77">
                  <c:v>2.4310627623690158</c:v>
                </c:pt>
                <c:pt idx="78">
                  <c:v>2.4429623698958221</c:v>
                </c:pt>
                <c:pt idx="79">
                  <c:v>2.4547859392557831</c:v>
                </c:pt>
                <c:pt idx="80">
                  <c:v>2.4665349097294103</c:v>
                </c:pt>
                <c:pt idx="81">
                  <c:v>2.4782106757567197</c:v>
                </c:pt>
                <c:pt idx="82">
                  <c:v>2.4898145888689927</c:v>
                </c:pt>
                <c:pt idx="83">
                  <c:v>2.5013479595148338</c:v>
                </c:pt>
                <c:pt idx="84">
                  <c:v>2.5128120587875147</c:v>
                </c:pt>
                <c:pt idx="85">
                  <c:v>2.5242081200600444</c:v>
                </c:pt>
                <c:pt idx="86">
                  <c:v>2.5355373405339261</c:v>
                </c:pt>
                <c:pt idx="87">
                  <c:v>2.5468008827070996</c:v>
                </c:pt>
                <c:pt idx="88">
                  <c:v>2.5579998757661633</c:v>
                </c:pt>
                <c:pt idx="89">
                  <c:v>2.5691354169076055</c:v>
                </c:pt>
                <c:pt idx="90">
                  <c:v>2.5802085725924058</c:v>
                </c:pt>
                <c:pt idx="91">
                  <c:v>2.5912203797380808</c:v>
                </c:pt>
                <c:pt idx="92">
                  <c:v>2.6021718468519319</c:v>
                </c:pt>
                <c:pt idx="93">
                  <c:v>2.6130639551090158</c:v>
                </c:pt>
                <c:pt idx="94">
                  <c:v>2.6238976593780876</c:v>
                </c:pt>
                <c:pt idx="95">
                  <c:v>2.6346738891985515</c:v>
                </c:pt>
                <c:pt idx="96">
                  <c:v>2.6453935497112622</c:v>
                </c:pt>
                <c:pt idx="97">
                  <c:v>2.6560575225457956</c:v>
                </c:pt>
                <c:pt idx="98">
                  <c:v>2.666666666666667</c:v>
                </c:pt>
                <c:pt idx="99">
                  <c:v>2.6772218191807839</c:v>
                </c:pt>
                <c:pt idx="100">
                  <c:v>2.6877237961082892</c:v>
                </c:pt>
              </c:numCache>
            </c:numRef>
          </c:val>
          <c:smooth val="0"/>
        </c:ser>
        <c:dLbls>
          <c:showLegendKey val="0"/>
          <c:showVal val="0"/>
          <c:showCatName val="0"/>
          <c:showSerName val="0"/>
          <c:showPercent val="0"/>
          <c:showBubbleSize val="0"/>
        </c:dLbls>
        <c:marker val="1"/>
        <c:smooth val="0"/>
        <c:axId val="140028544"/>
        <c:axId val="140038912"/>
      </c:lineChart>
      <c:catAx>
        <c:axId val="140028544"/>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0038912"/>
        <c:crosses val="autoZero"/>
        <c:auto val="1"/>
        <c:lblAlgn val="ctr"/>
        <c:lblOffset val="100"/>
        <c:tickLblSkip val="20"/>
        <c:tickMarkSkip val="10"/>
        <c:noMultiLvlLbl val="0"/>
      </c:catAx>
      <c:valAx>
        <c:axId val="140038912"/>
        <c:scaling>
          <c:orientation val="minMax"/>
          <c:max val="2.2000000000000002"/>
          <c:min val="1"/>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COMP</a:t>
                </a:r>
                <a:r>
                  <a:rPr lang="en-US" sz="1200" b="1" baseline="0">
                    <a:solidFill>
                      <a:schemeClr val="tx1"/>
                    </a:solidFill>
                    <a:latin typeface="Arial" pitchFamily="34" charset="0"/>
                    <a:cs typeface="Arial" pitchFamily="34" charset="0"/>
                  </a:rPr>
                  <a:t> Voltage (V)</a:t>
                </a:r>
                <a:endParaRPr lang="en-US" sz="1200" b="1">
                  <a:solidFill>
                    <a:schemeClr val="tx1"/>
                  </a:solidFill>
                  <a:latin typeface="Arial" pitchFamily="34" charset="0"/>
                  <a:cs typeface="Arial" pitchFamily="34" charset="0"/>
                </a:endParaRPr>
              </a:p>
            </c:rich>
          </c:tx>
          <c:layout>
            <c:manualLayout>
              <c:xMode val="edge"/>
              <c:yMode val="edge"/>
              <c:x val="1.5939635452545176E-2"/>
              <c:y val="0.34603169988013316"/>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0028544"/>
        <c:crossesAt val="0"/>
        <c:crossBetween val="between"/>
        <c:majorUnit val="0.2"/>
        <c:minorUnit val="0.1"/>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Single'!$CA$5:$CA$105</c:f>
              <c:numCache>
                <c:formatCode>0.00</c:formatCode>
                <c:ptCount val="101"/>
                <c:pt idx="0">
                  <c:v>7.0730161306269593E-5</c:v>
                </c:pt>
                <c:pt idx="1">
                  <c:v>76.034903191611804</c:v>
                </c:pt>
                <c:pt idx="2">
                  <c:v>80.121759307235919</c:v>
                </c:pt>
                <c:pt idx="3">
                  <c:v>81.58345576117037</c:v>
                </c:pt>
                <c:pt idx="4">
                  <c:v>82.334487877839592</c:v>
                </c:pt>
                <c:pt idx="5">
                  <c:v>82.791781230667212</c:v>
                </c:pt>
                <c:pt idx="6">
                  <c:v>83.09947600905933</c:v>
                </c:pt>
                <c:pt idx="7">
                  <c:v>83.320661979126669</c:v>
                </c:pt>
                <c:pt idx="8">
                  <c:v>83.480361122130645</c:v>
                </c:pt>
                <c:pt idx="9">
                  <c:v>83.87498850897957</c:v>
                </c:pt>
                <c:pt idx="10">
                  <c:v>84.625763318023658</c:v>
                </c:pt>
                <c:pt idx="11">
                  <c:v>85.254585981044997</c:v>
                </c:pt>
                <c:pt idx="12">
                  <c:v>85.789177023984266</c:v>
                </c:pt>
                <c:pt idx="13">
                  <c:v>86.249386149216974</c:v>
                </c:pt>
                <c:pt idx="14">
                  <c:v>86.649812325946584</c:v>
                </c:pt>
                <c:pt idx="15">
                  <c:v>87.00143982535738</c:v>
                </c:pt>
                <c:pt idx="16">
                  <c:v>87.312696755710377</c:v>
                </c:pt>
                <c:pt idx="17">
                  <c:v>87.590161147552507</c:v>
                </c:pt>
                <c:pt idx="18">
                  <c:v>87.839044562771178</c:v>
                </c:pt>
                <c:pt idx="19">
                  <c:v>88.063531089984821</c:v>
                </c:pt>
                <c:pt idx="20">
                  <c:v>88.267019884546897</c:v>
                </c:pt>
                <c:pt idx="21">
                  <c:v>88.45230188884679</c:v>
                </c:pt>
                <c:pt idx="22">
                  <c:v>88.621690714327869</c:v>
                </c:pt>
                <c:pt idx="23">
                  <c:v>88.777121011762134</c:v>
                </c:pt>
                <c:pt idx="24">
                  <c:v>88.920223398095615</c:v>
                </c:pt>
                <c:pt idx="25">
                  <c:v>89.052382223649687</c:v>
                </c:pt>
                <c:pt idx="26">
                  <c:v>89.174780606417897</c:v>
                </c:pt>
                <c:pt idx="27">
                  <c:v>89.288435899316895</c:v>
                </c:pt>
                <c:pt idx="28">
                  <c:v>89.39422788600973</c:v>
                </c:pt>
                <c:pt idx="29">
                  <c:v>89.492921391190265</c:v>
                </c:pt>
                <c:pt idx="30">
                  <c:v>89.585184558058984</c:v>
                </c:pt>
                <c:pt idx="31">
                  <c:v>89.671603734028295</c:v>
                </c:pt>
                <c:pt idx="32">
                  <c:v>89.752695678734142</c:v>
                </c:pt>
                <c:pt idx="33">
                  <c:v>89.82891764132917</c:v>
                </c:pt>
                <c:pt idx="34">
                  <c:v>89.900675729730878</c:v>
                </c:pt>
                <c:pt idx="35">
                  <c:v>89.968331901141639</c:v>
                </c:pt>
                <c:pt idx="36">
                  <c:v>90.032209832405499</c:v>
                </c:pt>
                <c:pt idx="37">
                  <c:v>90.092599874693292</c:v>
                </c:pt>
                <c:pt idx="38">
                  <c:v>90.149763255347921</c:v>
                </c:pt>
                <c:pt idx="39">
                  <c:v>90.203935657387888</c:v>
                </c:pt>
                <c:pt idx="40">
                  <c:v>90.255330281891048</c:v>
                </c:pt>
                <c:pt idx="41">
                  <c:v>90.304140478589403</c:v>
                </c:pt>
                <c:pt idx="42">
                  <c:v>90.350542014254273</c:v>
                </c:pt>
                <c:pt idx="43">
                  <c:v>90.394695035900909</c:v>
                </c:pt>
                <c:pt idx="44">
                  <c:v>90.436745775786136</c:v>
                </c:pt>
                <c:pt idx="45">
                  <c:v>90.476828037070931</c:v>
                </c:pt>
                <c:pt idx="46">
                  <c:v>90.515064492460382</c:v>
                </c:pt>
                <c:pt idx="47">
                  <c:v>90.551567822794382</c:v>
                </c:pt>
                <c:pt idx="48">
                  <c:v>90.586441718197634</c:v>
                </c:pt>
                <c:pt idx="49">
                  <c:v>90.619781760812771</c:v>
                </c:pt>
                <c:pt idx="50">
                  <c:v>90.651676205183591</c:v>
                </c:pt>
                <c:pt idx="51">
                  <c:v>90.682206669906279</c:v>
                </c:pt>
                <c:pt idx="52">
                  <c:v>90.711448752130678</c:v>
                </c:pt>
                <c:pt idx="53">
                  <c:v>90.739472574793666</c:v>
                </c:pt>
                <c:pt idx="54">
                  <c:v>90.766343275043965</c:v>
                </c:pt>
                <c:pt idx="55">
                  <c:v>90.792121441120116</c:v>
                </c:pt>
                <c:pt idx="56">
                  <c:v>90.816863503935252</c:v>
                </c:pt>
                <c:pt idx="57">
                  <c:v>90.840622088767446</c:v>
                </c:pt>
                <c:pt idx="58">
                  <c:v>90.863446331730543</c:v>
                </c:pt>
                <c:pt idx="59">
                  <c:v>90.885382165082902</c:v>
                </c:pt>
                <c:pt idx="60">
                  <c:v>90.906472574905123</c:v>
                </c:pt>
                <c:pt idx="61">
                  <c:v>90.926757834226962</c:v>
                </c:pt>
                <c:pt idx="62">
                  <c:v>90.946275714296249</c:v>
                </c:pt>
                <c:pt idx="63">
                  <c:v>90.965061676350345</c:v>
                </c:pt>
                <c:pt idx="64">
                  <c:v>90.983149045962293</c:v>
                </c:pt>
                <c:pt idx="65">
                  <c:v>91.000569171786054</c:v>
                </c:pt>
                <c:pt idx="66">
                  <c:v>91.017351570309643</c:v>
                </c:pt>
                <c:pt idx="67">
                  <c:v>91.033524058037358</c:v>
                </c:pt>
                <c:pt idx="68">
                  <c:v>91.049112872359814</c:v>
                </c:pt>
                <c:pt idx="69">
                  <c:v>91.064142782228046</c:v>
                </c:pt>
                <c:pt idx="70">
                  <c:v>91.078637189623407</c:v>
                </c:pt>
                <c:pt idx="71">
                  <c:v>91.092618222706463</c:v>
                </c:pt>
                <c:pt idx="72">
                  <c:v>91.10610682143168</c:v>
                </c:pt>
                <c:pt idx="73">
                  <c:v>91.119122816331455</c:v>
                </c:pt>
                <c:pt idx="74">
                  <c:v>91.131685001098205</c:v>
                </c:pt>
                <c:pt idx="75">
                  <c:v>91.143811199527974</c:v>
                </c:pt>
                <c:pt idx="76">
                  <c:v>91.155518327331336</c:v>
                </c:pt>
                <c:pt idx="77">
                  <c:v>91.166822449265908</c:v>
                </c:pt>
                <c:pt idx="78">
                  <c:v>91.17773883199925</c:v>
                </c:pt>
                <c:pt idx="79">
                  <c:v>91.188281993070817</c:v>
                </c:pt>
                <c:pt idx="80">
                  <c:v>91.198465746285279</c:v>
                </c:pt>
                <c:pt idx="81">
                  <c:v>91.208303243837861</c:v>
                </c:pt>
                <c:pt idx="82">
                  <c:v>91.217807015443242</c:v>
                </c:pt>
                <c:pt idx="83">
                  <c:v>91.226989004714724</c:v>
                </c:pt>
                <c:pt idx="84">
                  <c:v>91.270969029103327</c:v>
                </c:pt>
                <c:pt idx="85">
                  <c:v>91.32854481769543</c:v>
                </c:pt>
                <c:pt idx="86">
                  <c:v>91.334527894721589</c:v>
                </c:pt>
                <c:pt idx="87">
                  <c:v>91.337812242581521</c:v>
                </c:pt>
                <c:pt idx="88">
                  <c:v>91.340245962532791</c:v>
                </c:pt>
                <c:pt idx="89">
                  <c:v>91.341863406614237</c:v>
                </c:pt>
                <c:pt idx="90">
                  <c:v>91.342697188737247</c:v>
                </c:pt>
                <c:pt idx="91">
                  <c:v>91.342778290758758</c:v>
                </c:pt>
                <c:pt idx="92">
                  <c:v>91.342136161014267</c:v>
                </c:pt>
                <c:pt idx="93">
                  <c:v>91.340798805920002</c:v>
                </c:pt>
                <c:pt idx="94">
                  <c:v>91.338792875198735</c:v>
                </c:pt>
                <c:pt idx="95">
                  <c:v>91.336143741233897</c:v>
                </c:pt>
                <c:pt idx="96">
                  <c:v>91.332875573011933</c:v>
                </c:pt>
                <c:pt idx="97">
                  <c:v>91.329011405073274</c:v>
                </c:pt>
                <c:pt idx="98">
                  <c:v>91.32457320185479</c:v>
                </c:pt>
                <c:pt idx="99">
                  <c:v>91.319581917774713</c:v>
                </c:pt>
                <c:pt idx="100">
                  <c:v>91.314057553380394</c:v>
                </c:pt>
              </c:numCache>
            </c:numRef>
          </c:val>
          <c:smooth val="0"/>
        </c:ser>
        <c:dLbls>
          <c:showLegendKey val="0"/>
          <c:showVal val="0"/>
          <c:showCatName val="0"/>
          <c:showSerName val="0"/>
          <c:showPercent val="0"/>
          <c:showBubbleSize val="0"/>
        </c:dLbls>
        <c:marker val="1"/>
        <c:smooth val="0"/>
        <c:axId val="140087680"/>
        <c:axId val="140089600"/>
      </c:lineChart>
      <c:lineChart>
        <c:grouping val="standard"/>
        <c:varyColors val="0"/>
        <c:ser>
          <c:idx val="2"/>
          <c:order val="1"/>
          <c:tx>
            <c:strRef>
              <c:f>'Calculations - Single'!$BO$3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Single'!$BR$5:$BR$105</c:f>
              <c:numCache>
                <c:formatCode>0.0</c:formatCode>
                <c:ptCount val="101"/>
                <c:pt idx="0">
                  <c:v>4.0000000000000009E-7</c:v>
                </c:pt>
                <c:pt idx="1">
                  <c:v>3.2</c:v>
                </c:pt>
                <c:pt idx="2">
                  <c:v>6.4</c:v>
                </c:pt>
                <c:pt idx="3">
                  <c:v>9.6000000000000014</c:v>
                </c:pt>
                <c:pt idx="4">
                  <c:v>12.8</c:v>
                </c:pt>
                <c:pt idx="5">
                  <c:v>16.000000000000004</c:v>
                </c:pt>
                <c:pt idx="6">
                  <c:v>19.200000000000003</c:v>
                </c:pt>
                <c:pt idx="7">
                  <c:v>22.400000000000002</c:v>
                </c:pt>
                <c:pt idx="8">
                  <c:v>25.6</c:v>
                </c:pt>
                <c:pt idx="9">
                  <c:v>28.8</c:v>
                </c:pt>
                <c:pt idx="10">
                  <c:v>32.000000000000007</c:v>
                </c:pt>
                <c:pt idx="11">
                  <c:v>35.200000000000003</c:v>
                </c:pt>
                <c:pt idx="12">
                  <c:v>38.400000000000006</c:v>
                </c:pt>
                <c:pt idx="13">
                  <c:v>41.600000000000009</c:v>
                </c:pt>
                <c:pt idx="14">
                  <c:v>44.800000000000004</c:v>
                </c:pt>
                <c:pt idx="15">
                  <c:v>48</c:v>
                </c:pt>
                <c:pt idx="16">
                  <c:v>51.2</c:v>
                </c:pt>
                <c:pt idx="17">
                  <c:v>54.400000000000006</c:v>
                </c:pt>
                <c:pt idx="18">
                  <c:v>57.6</c:v>
                </c:pt>
                <c:pt idx="19">
                  <c:v>60.800000000000011</c:v>
                </c:pt>
                <c:pt idx="20">
                  <c:v>64.000000000000014</c:v>
                </c:pt>
                <c:pt idx="21">
                  <c:v>67.2</c:v>
                </c:pt>
                <c:pt idx="22">
                  <c:v>70.400000000000006</c:v>
                </c:pt>
                <c:pt idx="23">
                  <c:v>73.600000000000009</c:v>
                </c:pt>
                <c:pt idx="24">
                  <c:v>76.800000000000011</c:v>
                </c:pt>
                <c:pt idx="25">
                  <c:v>80.000000000000014</c:v>
                </c:pt>
                <c:pt idx="26">
                  <c:v>83.200000000000017</c:v>
                </c:pt>
                <c:pt idx="27">
                  <c:v>86.40000000000002</c:v>
                </c:pt>
                <c:pt idx="28">
                  <c:v>89.600000000000009</c:v>
                </c:pt>
                <c:pt idx="29">
                  <c:v>92.8</c:v>
                </c:pt>
                <c:pt idx="30">
                  <c:v>96</c:v>
                </c:pt>
                <c:pt idx="31">
                  <c:v>99.200000000000017</c:v>
                </c:pt>
                <c:pt idx="32">
                  <c:v>102.4</c:v>
                </c:pt>
                <c:pt idx="33">
                  <c:v>105.60000000000001</c:v>
                </c:pt>
                <c:pt idx="34">
                  <c:v>108.80000000000001</c:v>
                </c:pt>
                <c:pt idx="35">
                  <c:v>111.99999999999999</c:v>
                </c:pt>
                <c:pt idx="36">
                  <c:v>115.2</c:v>
                </c:pt>
                <c:pt idx="37">
                  <c:v>118.4</c:v>
                </c:pt>
                <c:pt idx="38">
                  <c:v>121.60000000000002</c:v>
                </c:pt>
                <c:pt idx="39">
                  <c:v>124.80000000000003</c:v>
                </c:pt>
                <c:pt idx="40">
                  <c:v>128.00000000000003</c:v>
                </c:pt>
                <c:pt idx="41">
                  <c:v>131.20000000000002</c:v>
                </c:pt>
                <c:pt idx="42">
                  <c:v>134.4</c:v>
                </c:pt>
                <c:pt idx="43">
                  <c:v>137.60000000000002</c:v>
                </c:pt>
                <c:pt idx="44">
                  <c:v>140.80000000000001</c:v>
                </c:pt>
                <c:pt idx="45">
                  <c:v>144.00000000000003</c:v>
                </c:pt>
                <c:pt idx="46">
                  <c:v>147.20000000000002</c:v>
                </c:pt>
                <c:pt idx="47">
                  <c:v>150.4</c:v>
                </c:pt>
                <c:pt idx="48">
                  <c:v>153.60000000000002</c:v>
                </c:pt>
                <c:pt idx="49">
                  <c:v>156.80000000000001</c:v>
                </c:pt>
                <c:pt idx="50">
                  <c:v>160.00000000000003</c:v>
                </c:pt>
                <c:pt idx="51">
                  <c:v>163.20000000000002</c:v>
                </c:pt>
                <c:pt idx="52">
                  <c:v>166.40000000000003</c:v>
                </c:pt>
                <c:pt idx="53">
                  <c:v>169.60000000000002</c:v>
                </c:pt>
                <c:pt idx="54">
                  <c:v>172.80000000000004</c:v>
                </c:pt>
                <c:pt idx="55">
                  <c:v>176.00000000000006</c:v>
                </c:pt>
                <c:pt idx="56">
                  <c:v>179.20000000000002</c:v>
                </c:pt>
                <c:pt idx="57">
                  <c:v>182.4</c:v>
                </c:pt>
                <c:pt idx="58">
                  <c:v>185.6</c:v>
                </c:pt>
                <c:pt idx="59">
                  <c:v>188.79999999999998</c:v>
                </c:pt>
                <c:pt idx="60">
                  <c:v>192</c:v>
                </c:pt>
                <c:pt idx="61">
                  <c:v>195.20000000000002</c:v>
                </c:pt>
                <c:pt idx="62">
                  <c:v>198.40000000000003</c:v>
                </c:pt>
                <c:pt idx="63">
                  <c:v>201.6</c:v>
                </c:pt>
                <c:pt idx="64">
                  <c:v>204.8</c:v>
                </c:pt>
                <c:pt idx="65">
                  <c:v>208.00000000000003</c:v>
                </c:pt>
                <c:pt idx="66">
                  <c:v>211.20000000000002</c:v>
                </c:pt>
                <c:pt idx="67">
                  <c:v>214.40000000000003</c:v>
                </c:pt>
                <c:pt idx="68">
                  <c:v>217.60000000000002</c:v>
                </c:pt>
                <c:pt idx="69">
                  <c:v>220.79999999999998</c:v>
                </c:pt>
                <c:pt idx="70">
                  <c:v>223.99999999999997</c:v>
                </c:pt>
                <c:pt idx="71">
                  <c:v>227.2</c:v>
                </c:pt>
                <c:pt idx="72">
                  <c:v>230.4</c:v>
                </c:pt>
                <c:pt idx="73">
                  <c:v>233.6</c:v>
                </c:pt>
                <c:pt idx="74">
                  <c:v>236.8</c:v>
                </c:pt>
                <c:pt idx="75">
                  <c:v>240.00000000000006</c:v>
                </c:pt>
                <c:pt idx="76">
                  <c:v>243.20000000000005</c:v>
                </c:pt>
                <c:pt idx="77">
                  <c:v>246.40000000000006</c:v>
                </c:pt>
                <c:pt idx="78">
                  <c:v>249.60000000000005</c:v>
                </c:pt>
                <c:pt idx="79">
                  <c:v>252.80000000000007</c:v>
                </c:pt>
                <c:pt idx="80">
                  <c:v>256.00000000000006</c:v>
                </c:pt>
                <c:pt idx="81">
                  <c:v>259.20000000000005</c:v>
                </c:pt>
                <c:pt idx="82">
                  <c:v>262.40000000000003</c:v>
                </c:pt>
                <c:pt idx="83">
                  <c:v>265.60000000000002</c:v>
                </c:pt>
                <c:pt idx="84">
                  <c:v>268.8</c:v>
                </c:pt>
                <c:pt idx="85">
                  <c:v>272</c:v>
                </c:pt>
                <c:pt idx="86">
                  <c:v>275.20000000000005</c:v>
                </c:pt>
                <c:pt idx="87">
                  <c:v>278.40000000000003</c:v>
                </c:pt>
                <c:pt idx="88">
                  <c:v>281.60000000000002</c:v>
                </c:pt>
                <c:pt idx="89">
                  <c:v>284.80000000000007</c:v>
                </c:pt>
                <c:pt idx="90">
                  <c:v>288.00000000000006</c:v>
                </c:pt>
                <c:pt idx="91">
                  <c:v>291.20000000000005</c:v>
                </c:pt>
                <c:pt idx="92">
                  <c:v>294.40000000000003</c:v>
                </c:pt>
                <c:pt idx="93">
                  <c:v>297.60000000000002</c:v>
                </c:pt>
                <c:pt idx="94">
                  <c:v>300.8</c:v>
                </c:pt>
                <c:pt idx="95">
                  <c:v>304.00000000000006</c:v>
                </c:pt>
                <c:pt idx="96">
                  <c:v>307.20000000000005</c:v>
                </c:pt>
                <c:pt idx="97">
                  <c:v>310.40000000000003</c:v>
                </c:pt>
                <c:pt idx="98">
                  <c:v>313.60000000000002</c:v>
                </c:pt>
                <c:pt idx="99">
                  <c:v>316.8</c:v>
                </c:pt>
                <c:pt idx="100">
                  <c:v>320.00000000000006</c:v>
                </c:pt>
              </c:numCache>
            </c:numRef>
          </c:val>
          <c:smooth val="0"/>
        </c:ser>
        <c:ser>
          <c:idx val="3"/>
          <c:order val="2"/>
          <c:tx>
            <c:strRef>
              <c:f>'Calculations - Single'!$BI$3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Single'!$BN$5:$BN$105</c:f>
              <c:numCache>
                <c:formatCode>0.0</c:formatCode>
                <c:ptCount val="101"/>
                <c:pt idx="0">
                  <c:v>7.6979623381481481</c:v>
                </c:pt>
                <c:pt idx="1">
                  <c:v>17.042471924963831</c:v>
                </c:pt>
                <c:pt idx="2">
                  <c:v>30.169943849927662</c:v>
                </c:pt>
                <c:pt idx="3">
                  <c:v>43.297415774891505</c:v>
                </c:pt>
                <c:pt idx="4">
                  <c:v>56.424887699855326</c:v>
                </c:pt>
                <c:pt idx="5">
                  <c:v>69.552359624819161</c:v>
                </c:pt>
                <c:pt idx="6">
                  <c:v>82.679831549783003</c:v>
                </c:pt>
                <c:pt idx="7">
                  <c:v>95.807303474746831</c:v>
                </c:pt>
                <c:pt idx="8">
                  <c:v>108.97835482637765</c:v>
                </c:pt>
                <c:pt idx="9">
                  <c:v>117.25183145475063</c:v>
                </c:pt>
                <c:pt idx="10">
                  <c:v>120.12560946826096</c:v>
                </c:pt>
                <c:pt idx="11">
                  <c:v>122.93427330739581</c:v>
                </c:pt>
                <c:pt idx="12">
                  <c:v>125.68988728267918</c:v>
                </c:pt>
                <c:pt idx="13">
                  <c:v>128.40190768121627</c:v>
                </c:pt>
                <c:pt idx="14">
                  <c:v>131.07788997037736</c:v>
                </c:pt>
                <c:pt idx="15">
                  <c:v>133.72396898023393</c:v>
                </c:pt>
                <c:pt idx="16">
                  <c:v>136.34519494212861</c:v>
                </c:pt>
                <c:pt idx="17">
                  <c:v>138.94577477846377</c:v>
                </c:pt>
                <c:pt idx="18">
                  <c:v>141.52924924068171</c:v>
                </c:pt>
                <c:pt idx="19">
                  <c:v>144.09862548535835</c:v>
                </c:pt>
                <c:pt idx="20">
                  <c:v>146.65647799595837</c:v>
                </c:pt>
                <c:pt idx="21">
                  <c:v>149.20502657130339</c:v>
                </c:pt>
                <c:pt idx="22">
                  <c:v>151.74619740549389</c:v>
                </c:pt>
                <c:pt idx="23">
                  <c:v>154.28167150446114</c:v>
                </c:pt>
                <c:pt idx="24">
                  <c:v>156.81292348387638</c:v>
                </c:pt>
                <c:pt idx="25">
                  <c:v>159.34125296733032</c:v>
                </c:pt>
                <c:pt idx="26">
                  <c:v>161.86781022544727</c:v>
                </c:pt>
                <c:pt idx="27">
                  <c:v>164.39361728514189</c:v>
                </c:pt>
                <c:pt idx="28">
                  <c:v>166.91958544112705</c:v>
                </c:pt>
                <c:pt idx="29">
                  <c:v>169.44652988435976</c:v>
                </c:pt>
                <c:pt idx="30">
                  <c:v>171.97518200102076</c:v>
                </c:pt>
                <c:pt idx="31">
                  <c:v>174.50619977490629</c:v>
                </c:pt>
                <c:pt idx="32">
                  <c:v>177.04017663468514</c:v>
                </c:pt>
                <c:pt idx="33">
                  <c:v>179.57764901755934</c:v>
                </c:pt>
                <c:pt idx="34">
                  <c:v>182.11910286690576</c:v>
                </c:pt>
                <c:pt idx="35">
                  <c:v>184.66497923947966</c:v>
                </c:pt>
                <c:pt idx="36">
                  <c:v>187.21567916481175</c:v>
                </c:pt>
                <c:pt idx="37">
                  <c:v>189.77156787338672</c:v>
                </c:pt>
                <c:pt idx="38">
                  <c:v>192.33297848946387</c:v>
                </c:pt>
                <c:pt idx="39">
                  <c:v>194.90021526779086</c:v>
                </c:pt>
                <c:pt idx="40">
                  <c:v>197.47355644007516</c:v>
                </c:pt>
                <c:pt idx="41">
                  <c:v>200.05325672621785</c:v>
                </c:pt>
                <c:pt idx="42">
                  <c:v>202.63954955646338</c:v>
                </c:pt>
                <c:pt idx="43">
                  <c:v>205.23264904336051</c:v>
                </c:pt>
                <c:pt idx="44">
                  <c:v>207.83275173645171</c:v>
                </c:pt>
                <c:pt idx="45">
                  <c:v>210.44003818765972</c:v>
                </c:pt>
                <c:pt idx="46">
                  <c:v>213.05467435122574</c:v>
                </c:pt>
                <c:pt idx="47">
                  <c:v>215.67681283861845</c:v>
                </c:pt>
                <c:pt idx="48">
                  <c:v>218.30659404595227</c:v>
                </c:pt>
                <c:pt idx="49">
                  <c:v>220.94414716902887</c:v>
                </c:pt>
                <c:pt idx="50">
                  <c:v>223.58959111906807</c:v>
                </c:pt>
                <c:pt idx="51">
                  <c:v>226.24303535045757</c:v>
                </c:pt>
                <c:pt idx="52">
                  <c:v>228.90458061037236</c:v>
                </c:pt>
                <c:pt idx="53">
                  <c:v>231.57431961885578</c:v>
                </c:pt>
                <c:pt idx="54">
                  <c:v>234.2523376868719</c:v>
                </c:pt>
                <c:pt idx="55">
                  <c:v>236.93871327891384</c:v>
                </c:pt>
                <c:pt idx="56">
                  <c:v>239.63351852595198</c:v>
                </c:pt>
                <c:pt idx="57">
                  <c:v>242.33681969381806</c:v>
                </c:pt>
                <c:pt idx="58">
                  <c:v>245.04867761152212</c:v>
                </c:pt>
                <c:pt idx="59">
                  <c:v>247.76914806348177</c:v>
                </c:pt>
                <c:pt idx="60">
                  <c:v>250.49828214919086</c:v>
                </c:pt>
                <c:pt idx="61">
                  <c:v>253.23612661346235</c:v>
                </c:pt>
                <c:pt idx="62">
                  <c:v>255.98272415003288</c:v>
                </c:pt>
                <c:pt idx="63">
                  <c:v>258.73811368101752</c:v>
                </c:pt>
                <c:pt idx="64">
                  <c:v>261.5023306144376</c:v>
                </c:pt>
                <c:pt idx="65">
                  <c:v>264.27540708180766</c:v>
                </c:pt>
                <c:pt idx="66">
                  <c:v>267.05737215756818</c:v>
                </c:pt>
                <c:pt idx="67">
                  <c:v>269.84825206196149</c:v>
                </c:pt>
                <c:pt idx="68">
                  <c:v>272.64807034879368</c:v>
                </c:pt>
                <c:pt idx="69">
                  <c:v>275.45684807937829</c:v>
                </c:pt>
                <c:pt idx="70">
                  <c:v>278.27460398383175</c:v>
                </c:pt>
                <c:pt idx="71">
                  <c:v>281.10135461077914</c:v>
                </c:pt>
                <c:pt idx="72">
                  <c:v>283.93711446642556</c:v>
                </c:pt>
                <c:pt idx="73">
                  <c:v>286.78189614386105</c:v>
                </c:pt>
                <c:pt idx="74">
                  <c:v>289.63571044338443</c:v>
                </c:pt>
                <c:pt idx="75">
                  <c:v>292.4985664845596</c:v>
                </c:pt>
                <c:pt idx="76">
                  <c:v>295.37047181065623</c:v>
                </c:pt>
                <c:pt idx="77">
                  <c:v>298.25143248606355</c:v>
                </c:pt>
                <c:pt idx="78">
                  <c:v>301.14145318721938</c:v>
                </c:pt>
                <c:pt idx="79">
                  <c:v>304.04053728754332</c:v>
                </c:pt>
                <c:pt idx="80">
                  <c:v>306.9486869368277</c:v>
                </c:pt>
                <c:pt idx="81">
                  <c:v>309.86590313549391</c:v>
                </c:pt>
                <c:pt idx="82">
                  <c:v>312.79218580409446</c:v>
                </c:pt>
                <c:pt idx="83">
                  <c:v>315.72753384840354</c:v>
                </c:pt>
                <c:pt idx="84">
                  <c:v>316.04648281930503</c:v>
                </c:pt>
                <c:pt idx="85">
                  <c:v>315.26872697755465</c:v>
                </c:pt>
                <c:pt idx="86">
                  <c:v>317.32754211004755</c:v>
                </c:pt>
                <c:pt idx="87">
                  <c:v>319.5398239008573</c:v>
                </c:pt>
                <c:pt idx="88">
                  <c:v>321.80429452612987</c:v>
                </c:pt>
                <c:pt idx="89">
                  <c:v>324.12035937075746</c:v>
                </c:pt>
                <c:pt idx="90">
                  <c:v>326.48745024697024</c:v>
                </c:pt>
                <c:pt idx="91">
                  <c:v>328.90502394228525</c:v>
                </c:pt>
                <c:pt idx="92">
                  <c:v>331.37256086215314</c:v>
                </c:pt>
                <c:pt idx="93">
                  <c:v>333.88956376017745</c:v>
                </c:pt>
                <c:pt idx="94">
                  <c:v>336.45555654938283</c:v>
                </c:pt>
                <c:pt idx="95">
                  <c:v>339.07008318856128</c:v>
                </c:pt>
                <c:pt idx="96">
                  <c:v>341.73270663822206</c:v>
                </c:pt>
                <c:pt idx="97">
                  <c:v>344.44300788112099</c:v>
                </c:pt>
                <c:pt idx="98">
                  <c:v>347.20058500275883</c:v>
                </c:pt>
                <c:pt idx="99">
                  <c:v>350.00505232760599</c:v>
                </c:pt>
                <c:pt idx="100">
                  <c:v>352.85603960715412</c:v>
                </c:pt>
              </c:numCache>
            </c:numRef>
          </c:val>
          <c:smooth val="0"/>
        </c:ser>
        <c:ser>
          <c:idx val="1"/>
          <c:order val="3"/>
          <c:tx>
            <c:strRef>
              <c:f>'Calculations - Single'!$BS$3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Single'!$BW$5:$BW$105</c:f>
              <c:numCache>
                <c:formatCode>0.0</c:formatCode>
                <c:ptCount val="101"/>
                <c:pt idx="0">
                  <c:v>9.2679133333333308</c:v>
                </c:pt>
                <c:pt idx="1">
                  <c:v>10.015333333333331</c:v>
                </c:pt>
                <c:pt idx="2">
                  <c:v>11.06533333333333</c:v>
                </c:pt>
                <c:pt idx="3">
                  <c:v>12.115333333333336</c:v>
                </c:pt>
                <c:pt idx="4">
                  <c:v>13.165333333333336</c:v>
                </c:pt>
                <c:pt idx="5">
                  <c:v>14.215333333333332</c:v>
                </c:pt>
                <c:pt idx="6">
                  <c:v>15.265333333333336</c:v>
                </c:pt>
                <c:pt idx="7">
                  <c:v>16.315333333333335</c:v>
                </c:pt>
                <c:pt idx="8">
                  <c:v>17.398499222476183</c:v>
                </c:pt>
                <c:pt idx="9">
                  <c:v>20.05263157894737</c:v>
                </c:pt>
                <c:pt idx="10">
                  <c:v>22.280701754385976</c:v>
                </c:pt>
                <c:pt idx="11">
                  <c:v>24.508771929824562</c:v>
                </c:pt>
                <c:pt idx="12">
                  <c:v>26.736842105263165</c:v>
                </c:pt>
                <c:pt idx="13">
                  <c:v>28.964912280701771</c:v>
                </c:pt>
                <c:pt idx="14">
                  <c:v>31.192982456140356</c:v>
                </c:pt>
                <c:pt idx="15">
                  <c:v>33.421052631578952</c:v>
                </c:pt>
                <c:pt idx="16">
                  <c:v>35.649122807017555</c:v>
                </c:pt>
                <c:pt idx="17">
                  <c:v>37.877192982456144</c:v>
                </c:pt>
                <c:pt idx="18">
                  <c:v>40.10526315789474</c:v>
                </c:pt>
                <c:pt idx="19">
                  <c:v>42.33333333333335</c:v>
                </c:pt>
                <c:pt idx="20">
                  <c:v>44.561403508771953</c:v>
                </c:pt>
                <c:pt idx="21">
                  <c:v>46.789473684210549</c:v>
                </c:pt>
                <c:pt idx="22">
                  <c:v>49.017543859649138</c:v>
                </c:pt>
                <c:pt idx="23">
                  <c:v>51.24561403508774</c:v>
                </c:pt>
                <c:pt idx="24">
                  <c:v>53.473684210526329</c:v>
                </c:pt>
                <c:pt idx="25">
                  <c:v>55.701754385964918</c:v>
                </c:pt>
                <c:pt idx="26">
                  <c:v>57.929824561403521</c:v>
                </c:pt>
                <c:pt idx="27">
                  <c:v>60.157894736842117</c:v>
                </c:pt>
                <c:pt idx="28">
                  <c:v>62.385964912280727</c:v>
                </c:pt>
                <c:pt idx="29">
                  <c:v>64.614035087719301</c:v>
                </c:pt>
                <c:pt idx="30">
                  <c:v>66.842105263157919</c:v>
                </c:pt>
                <c:pt idx="31">
                  <c:v>69.070175438596507</c:v>
                </c:pt>
                <c:pt idx="32">
                  <c:v>71.29824561403511</c:v>
                </c:pt>
                <c:pt idx="33">
                  <c:v>73.526315789473699</c:v>
                </c:pt>
                <c:pt idx="34">
                  <c:v>75.754385964912288</c:v>
                </c:pt>
                <c:pt idx="35">
                  <c:v>77.982456140350877</c:v>
                </c:pt>
                <c:pt idx="36">
                  <c:v>80.21052631578948</c:v>
                </c:pt>
                <c:pt idx="37">
                  <c:v>82.438596491228083</c:v>
                </c:pt>
                <c:pt idx="38">
                  <c:v>84.666666666666728</c:v>
                </c:pt>
                <c:pt idx="39">
                  <c:v>86.894736842105289</c:v>
                </c:pt>
                <c:pt idx="40">
                  <c:v>89.122807017543892</c:v>
                </c:pt>
                <c:pt idx="41">
                  <c:v>91.350877192982495</c:v>
                </c:pt>
                <c:pt idx="42">
                  <c:v>93.578947368421083</c:v>
                </c:pt>
                <c:pt idx="43">
                  <c:v>95.807017543859658</c:v>
                </c:pt>
                <c:pt idx="44">
                  <c:v>98.035087719298261</c:v>
                </c:pt>
                <c:pt idx="45">
                  <c:v>100.26315789473689</c:v>
                </c:pt>
                <c:pt idx="46">
                  <c:v>102.49122807017547</c:v>
                </c:pt>
                <c:pt idx="47">
                  <c:v>104.71929824561407</c:v>
                </c:pt>
                <c:pt idx="48">
                  <c:v>106.94736842105264</c:v>
                </c:pt>
                <c:pt idx="49">
                  <c:v>109.17543859649123</c:v>
                </c:pt>
                <c:pt idx="50">
                  <c:v>111.40350877192984</c:v>
                </c:pt>
                <c:pt idx="51">
                  <c:v>113.63157894736847</c:v>
                </c:pt>
                <c:pt idx="52">
                  <c:v>115.85964912280708</c:v>
                </c:pt>
                <c:pt idx="53">
                  <c:v>118.08771929824569</c:v>
                </c:pt>
                <c:pt idx="54">
                  <c:v>120.31578947368423</c:v>
                </c:pt>
                <c:pt idx="55">
                  <c:v>122.54385964912285</c:v>
                </c:pt>
                <c:pt idx="56">
                  <c:v>124.77192982456143</c:v>
                </c:pt>
                <c:pt idx="57">
                  <c:v>127</c:v>
                </c:pt>
                <c:pt idx="58">
                  <c:v>129.2280701754386</c:v>
                </c:pt>
                <c:pt idx="59">
                  <c:v>131.45614035087723</c:v>
                </c:pt>
                <c:pt idx="60">
                  <c:v>133.68421052631584</c:v>
                </c:pt>
                <c:pt idx="61">
                  <c:v>135.91228070175441</c:v>
                </c:pt>
                <c:pt idx="62">
                  <c:v>138.14035087719301</c:v>
                </c:pt>
                <c:pt idx="63">
                  <c:v>140.36842105263159</c:v>
                </c:pt>
                <c:pt idx="64">
                  <c:v>142.59649122807022</c:v>
                </c:pt>
                <c:pt idx="65">
                  <c:v>144.8245614035088</c:v>
                </c:pt>
                <c:pt idx="66">
                  <c:v>147.0526315789474</c:v>
                </c:pt>
                <c:pt idx="67">
                  <c:v>149.280701754386</c:v>
                </c:pt>
                <c:pt idx="68">
                  <c:v>151.5087719298246</c:v>
                </c:pt>
                <c:pt idx="69">
                  <c:v>153.73684210526315</c:v>
                </c:pt>
                <c:pt idx="70">
                  <c:v>155.96491228070175</c:v>
                </c:pt>
                <c:pt idx="71">
                  <c:v>158.19298245614041</c:v>
                </c:pt>
                <c:pt idx="72">
                  <c:v>160.42105263157896</c:v>
                </c:pt>
                <c:pt idx="73">
                  <c:v>162.64912280701759</c:v>
                </c:pt>
                <c:pt idx="74">
                  <c:v>164.87719298245617</c:v>
                </c:pt>
                <c:pt idx="75">
                  <c:v>167.10526315789477</c:v>
                </c:pt>
                <c:pt idx="76">
                  <c:v>169.33333333333343</c:v>
                </c:pt>
                <c:pt idx="77">
                  <c:v>171.56140350877197</c:v>
                </c:pt>
                <c:pt idx="78">
                  <c:v>173.78947368421061</c:v>
                </c:pt>
                <c:pt idx="79">
                  <c:v>176.01754385964918</c:v>
                </c:pt>
                <c:pt idx="80">
                  <c:v>178.24561403508781</c:v>
                </c:pt>
                <c:pt idx="81">
                  <c:v>180.47368421052639</c:v>
                </c:pt>
                <c:pt idx="82">
                  <c:v>182.70175438596499</c:v>
                </c:pt>
                <c:pt idx="83">
                  <c:v>184.92982456140354</c:v>
                </c:pt>
                <c:pt idx="84">
                  <c:v>186.38347669679678</c:v>
                </c:pt>
                <c:pt idx="85">
                  <c:v>187.50628371434058</c:v>
                </c:pt>
                <c:pt idx="86">
                  <c:v>190.77029004870471</c:v>
                </c:pt>
                <c:pt idx="87">
                  <c:v>194.1373057529166</c:v>
                </c:pt>
                <c:pt idx="88">
                  <c:v>197.53072965293526</c:v>
                </c:pt>
                <c:pt idx="89">
                  <c:v>200.95056174876086</c:v>
                </c:pt>
                <c:pt idx="90">
                  <c:v>204.39680204039331</c:v>
                </c:pt>
                <c:pt idx="91">
                  <c:v>207.86945052783267</c:v>
                </c:pt>
                <c:pt idx="92">
                  <c:v>211.36850721107885</c:v>
                </c:pt>
                <c:pt idx="93">
                  <c:v>214.893972090132</c:v>
                </c:pt>
                <c:pt idx="94">
                  <c:v>218.44584516499188</c:v>
                </c:pt>
                <c:pt idx="95">
                  <c:v>222.02412643565873</c:v>
                </c:pt>
                <c:pt idx="96">
                  <c:v>225.6288159021324</c:v>
                </c:pt>
                <c:pt idx="97">
                  <c:v>229.25991356441298</c:v>
                </c:pt>
                <c:pt idx="98">
                  <c:v>232.91741942250044</c:v>
                </c:pt>
                <c:pt idx="99">
                  <c:v>236.60133347639473</c:v>
                </c:pt>
                <c:pt idx="100">
                  <c:v>240.31165572609598</c:v>
                </c:pt>
              </c:numCache>
            </c:numRef>
          </c:val>
          <c:smooth val="0"/>
        </c:ser>
        <c:dLbls>
          <c:showLegendKey val="0"/>
          <c:showVal val="0"/>
          <c:showCatName val="0"/>
          <c:showSerName val="0"/>
          <c:showPercent val="0"/>
          <c:showBubbleSize val="0"/>
        </c:dLbls>
        <c:marker val="1"/>
        <c:smooth val="0"/>
        <c:axId val="140101888"/>
        <c:axId val="140099968"/>
      </c:lineChart>
      <c:catAx>
        <c:axId val="140087680"/>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Load Current (mA)</a:t>
                </a:r>
              </a:p>
            </c:rich>
          </c:tx>
          <c:layout>
            <c:manualLayout>
              <c:xMode val="edge"/>
              <c:yMode val="edge"/>
              <c:x val="0.42471011396394504"/>
              <c:y val="0.93853771636955563"/>
            </c:manualLayout>
          </c:layout>
          <c:overlay val="0"/>
          <c:spPr>
            <a:noFill/>
            <a:ln w="25400">
              <a:noFill/>
            </a:ln>
          </c:spPr>
        </c:title>
        <c:numFmt formatCode="0"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40089600"/>
        <c:crosses val="autoZero"/>
        <c:auto val="1"/>
        <c:lblAlgn val="ctr"/>
        <c:lblOffset val="100"/>
        <c:tickLblSkip val="20"/>
        <c:tickMarkSkip val="20"/>
        <c:noMultiLvlLbl val="0"/>
      </c:catAx>
      <c:valAx>
        <c:axId val="140089600"/>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40087680"/>
        <c:crossesAt val="0"/>
        <c:crossBetween val="between"/>
        <c:majorUnit val="5"/>
        <c:minorUnit val="2.5"/>
      </c:valAx>
      <c:valAx>
        <c:axId val="140099968"/>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40101888"/>
        <c:crosses val="max"/>
        <c:crossBetween val="between"/>
      </c:valAx>
      <c:catAx>
        <c:axId val="140101888"/>
        <c:scaling>
          <c:orientation val="minMax"/>
        </c:scaling>
        <c:delete val="1"/>
        <c:axPos val="b"/>
        <c:numFmt formatCode="General" sourceLinked="1"/>
        <c:majorTickMark val="out"/>
        <c:minorTickMark val="none"/>
        <c:tickLblPos val="nextTo"/>
        <c:crossAx val="140099968"/>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3.9892589721079133E-2"/>
          <c:w val="0.86047278973849184"/>
          <c:h val="0.83734080468357386"/>
        </c:manualLayout>
      </c:layout>
      <c:lineChart>
        <c:grouping val="standard"/>
        <c:varyColors val="0"/>
        <c:ser>
          <c:idx val="1"/>
          <c:order val="0"/>
          <c:tx>
            <c:v>VIN-min</c:v>
          </c:tx>
          <c:spPr>
            <a:ln>
              <a:solidFill>
                <a:srgbClr val="00B050"/>
              </a:solidFill>
              <a:prstDash val="sysDash"/>
            </a:ln>
          </c:spPr>
          <c:marker>
            <c:symbol val="none"/>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Single'!$AN$110:$AN$210</c:f>
              <c:numCache>
                <c:formatCode>0.0</c:formatCode>
                <c:ptCount val="101"/>
                <c:pt idx="0">
                  <c:v>12</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345.94015413652079</c:v>
                </c:pt>
                <c:pt idx="56">
                  <c:v>339.76265138408286</c:v>
                </c:pt>
                <c:pt idx="57">
                  <c:v>333.8019031141867</c:v>
                </c:pt>
                <c:pt idx="58">
                  <c:v>328.04669788808013</c:v>
                </c:pt>
                <c:pt idx="59">
                  <c:v>322.48658436455332</c:v>
                </c:pt>
                <c:pt idx="60">
                  <c:v>317.11180795847747</c:v>
                </c:pt>
                <c:pt idx="61">
                  <c:v>311.91325372964997</c:v>
                </c:pt>
                <c:pt idx="62">
                  <c:v>306.8823947985266</c:v>
                </c:pt>
                <c:pt idx="63">
                  <c:v>302.01124567474045</c:v>
                </c:pt>
                <c:pt idx="64">
                  <c:v>297.29231996107256</c:v>
                </c:pt>
                <c:pt idx="65">
                  <c:v>292.71859196167151</c:v>
                </c:pt>
                <c:pt idx="66">
                  <c:v>288.2834617804341</c:v>
                </c:pt>
                <c:pt idx="67">
                  <c:v>283.98072354490517</c:v>
                </c:pt>
                <c:pt idx="68">
                  <c:v>279.80453643395066</c:v>
                </c:pt>
                <c:pt idx="69">
                  <c:v>275.74939822476307</c:v>
                </c:pt>
                <c:pt idx="70">
                  <c:v>271.81012110726641</c:v>
                </c:pt>
                <c:pt idx="71">
                  <c:v>267.98180954237534</c:v>
                </c:pt>
                <c:pt idx="72">
                  <c:v>264.25983996539793</c:v>
                </c:pt>
                <c:pt idx="73">
                  <c:v>260.63984215765271</c:v>
                </c:pt>
                <c:pt idx="74">
                  <c:v>257.11768212849523</c:v>
                </c:pt>
                <c:pt idx="75">
                  <c:v>253.68944636678188</c:v>
                </c:pt>
                <c:pt idx="76">
                  <c:v>250.35142733564004</c:v>
                </c:pt>
                <c:pt idx="77">
                  <c:v>247.1001100975148</c:v>
                </c:pt>
                <c:pt idx="78">
                  <c:v>243.93215996805955</c:v>
                </c:pt>
                <c:pt idx="79">
                  <c:v>240.8444111077043</c:v>
                </c:pt>
                <c:pt idx="80">
                  <c:v>237.83385596885805</c:v>
                </c:pt>
                <c:pt idx="81">
                  <c:v>234.89763552479809</c:v>
                </c:pt>
                <c:pt idx="82">
                  <c:v>232.03303021352008</c:v>
                </c:pt>
                <c:pt idx="83">
                  <c:v>229.23745153624881</c:v>
                </c:pt>
                <c:pt idx="84">
                  <c:v>226.50843425605535</c:v>
                </c:pt>
                <c:pt idx="85">
                  <c:v>223.84362914716053</c:v>
                </c:pt>
                <c:pt idx="86">
                  <c:v>221.24079625010057</c:v>
                </c:pt>
                <c:pt idx="87">
                  <c:v>218.69779859205343</c:v>
                </c:pt>
                <c:pt idx="88">
                  <c:v>216.21259633532551</c:v>
                </c:pt>
                <c:pt idx="89">
                  <c:v>213.78324132032188</c:v>
                </c:pt>
                <c:pt idx="90">
                  <c:v>211.4078719723183</c:v>
                </c:pt>
                <c:pt idx="91">
                  <c:v>209.08470854405107</c:v>
                </c:pt>
                <c:pt idx="92">
                  <c:v>206.81204866857223</c:v>
                </c:pt>
                <c:pt idx="93">
                  <c:v>204.58826319901766</c:v>
                </c:pt>
                <c:pt idx="94">
                  <c:v>202.41179231392175</c:v>
                </c:pt>
                <c:pt idx="95">
                  <c:v>200.28114186851204</c:v>
                </c:pt>
                <c:pt idx="96">
                  <c:v>198.19487997404835</c:v>
                </c:pt>
                <c:pt idx="97">
                  <c:v>196.15163378874891</c:v>
                </c:pt>
                <c:pt idx="98">
                  <c:v>194.15008650519025</c:v>
                </c:pt>
                <c:pt idx="99">
                  <c:v>192.18897452028935</c:v>
                </c:pt>
                <c:pt idx="100">
                  <c:v>190.26708477508643</c:v>
                </c:pt>
              </c:numCache>
            </c:numRef>
          </c:val>
          <c:smooth val="0"/>
        </c:ser>
        <c:ser>
          <c:idx val="0"/>
          <c:order val="1"/>
          <c:tx>
            <c:v>VIN-nom</c:v>
          </c:tx>
          <c:spPr>
            <a:ln w="28575">
              <a:solidFill>
                <a:srgbClr val="0000FF"/>
              </a:solidFill>
              <a:prstDash val="lgDash"/>
            </a:ln>
          </c:spPr>
          <c:marker>
            <c:symbol val="none"/>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Single'!$AN$5:$AN$105</c:f>
              <c:numCache>
                <c:formatCode>0.0</c:formatCode>
                <c:ptCount val="101"/>
                <c:pt idx="0">
                  <c:v>12</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347.08056691252716</c:v>
                </c:pt>
                <c:pt idx="85">
                  <c:v>342.99726612532089</c:v>
                </c:pt>
                <c:pt idx="86">
                  <c:v>339.00892582153801</c:v>
                </c:pt>
                <c:pt idx="87">
                  <c:v>335.11227150175034</c:v>
                </c:pt>
                <c:pt idx="88">
                  <c:v>331.30417750741219</c:v>
                </c:pt>
                <c:pt idx="89">
                  <c:v>327.58165865901435</c:v>
                </c:pt>
                <c:pt idx="90">
                  <c:v>323.94186245169192</c:v>
                </c:pt>
                <c:pt idx="91">
                  <c:v>320.38206176540962</c:v>
                </c:pt>
                <c:pt idx="92">
                  <c:v>316.8996480505682</c:v>
                </c:pt>
                <c:pt idx="93">
                  <c:v>313.49212495325025</c:v>
                </c:pt>
                <c:pt idx="94">
                  <c:v>310.15710234736463</c:v>
                </c:pt>
                <c:pt idx="95">
                  <c:v>306.89229074370803</c:v>
                </c:pt>
                <c:pt idx="96">
                  <c:v>303.69549604846117</c:v>
                </c:pt>
                <c:pt idx="97">
                  <c:v>300.56461464589967</c:v>
                </c:pt>
                <c:pt idx="98">
                  <c:v>297.49762878216609</c:v>
                </c:pt>
                <c:pt idx="99">
                  <c:v>294.49260222881082</c:v>
                </c:pt>
                <c:pt idx="100">
                  <c:v>291.54767620652274</c:v>
                </c:pt>
              </c:numCache>
            </c:numRef>
          </c:val>
          <c:smooth val="0"/>
        </c:ser>
        <c:ser>
          <c:idx val="2"/>
          <c:order val="2"/>
          <c:tx>
            <c:v>VIN-max</c:v>
          </c:tx>
          <c:spPr>
            <a:ln>
              <a:solidFill>
                <a:srgbClr val="FF0000"/>
              </a:solidFill>
              <a:prstDash val="solid"/>
            </a:ln>
          </c:spPr>
          <c:marker>
            <c:symbol val="none"/>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Single'!$AN$217:$AN$317</c:f>
              <c:numCache>
                <c:formatCode>0.0</c:formatCode>
                <c:ptCount val="101"/>
                <c:pt idx="0">
                  <c:v>12</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Single'!$CD$110:$CD$210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Single'!$CD$5:$CD$105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Single'!$AM$5:$AM$105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Single'!$CD$217:$CD$317</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140208384"/>
        <c:axId val="140227328"/>
      </c:lineChart>
      <c:catAx>
        <c:axId val="140208384"/>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0227328"/>
        <c:crosses val="autoZero"/>
        <c:auto val="1"/>
        <c:lblAlgn val="ctr"/>
        <c:lblOffset val="100"/>
        <c:tickLblSkip val="20"/>
        <c:tickMarkSkip val="10"/>
        <c:noMultiLvlLbl val="0"/>
      </c:catAx>
      <c:valAx>
        <c:axId val="140227328"/>
        <c:scaling>
          <c:orientation val="minMax"/>
          <c:max val="400"/>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Switching</a:t>
                </a:r>
                <a:r>
                  <a:rPr lang="en-US" sz="1200" b="1" baseline="0">
                    <a:solidFill>
                      <a:schemeClr val="tx1"/>
                    </a:solidFill>
                    <a:latin typeface="Arial" pitchFamily="34" charset="0"/>
                    <a:cs typeface="Arial" pitchFamily="34" charset="0"/>
                  </a:rPr>
                  <a:t> Frquency (kHz)</a:t>
                </a:r>
                <a:endParaRPr lang="en-US" sz="1200" b="1">
                  <a:solidFill>
                    <a:schemeClr val="tx1"/>
                  </a:solidFill>
                  <a:latin typeface="Arial" pitchFamily="34" charset="0"/>
                  <a:cs typeface="Arial" pitchFamily="34" charset="0"/>
                </a:endParaRPr>
              </a:p>
            </c:rich>
          </c:tx>
          <c:layout>
            <c:manualLayout>
              <c:xMode val="edge"/>
              <c:yMode val="edge"/>
              <c:x val="8.5568268367748525E-3"/>
              <c:y val="0.30050661099568304"/>
            </c:manualLayout>
          </c:layout>
          <c:overlay val="0"/>
          <c:spPr>
            <a:noFill/>
            <a:ln w="25400">
              <a:noFill/>
            </a:ln>
          </c:spPr>
        </c:title>
        <c:numFmt formatCode="#,##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0208384"/>
        <c:crossesAt val="0"/>
        <c:crossBetween val="between"/>
        <c:majorUnit val="50"/>
        <c:minorUnit val="25"/>
      </c:valAx>
      <c:spPr>
        <a:solidFill>
          <a:srgbClr val="FFFFFF"/>
        </a:solidFill>
        <a:ln w="25400">
          <a:noFill/>
        </a:ln>
      </c:spPr>
    </c:plotArea>
    <c:legend>
      <c:legendPos val="l"/>
      <c:legendEntry>
        <c:idx val="3"/>
        <c:delete val="1"/>
      </c:legendEntry>
      <c:legendEntry>
        <c:idx val="4"/>
        <c:delete val="1"/>
      </c:legendEntry>
      <c:legendEntry>
        <c:idx val="5"/>
        <c:delete val="1"/>
      </c:legendEntry>
      <c:layout>
        <c:manualLayout>
          <c:xMode val="edge"/>
          <c:yMode val="edge"/>
          <c:x val="0.14682981090100111"/>
          <c:y val="0.67041751876868938"/>
          <c:w val="0.13753070632578046"/>
          <c:h val="0.1749683688186130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93009796772281"/>
          <c:y val="9.6043598935517463E-2"/>
          <c:w val="0.79387547420256122"/>
          <c:h val="0.75083975467433728"/>
        </c:manualLayout>
      </c:layout>
      <c:lineChart>
        <c:grouping val="standard"/>
        <c:varyColors val="0"/>
        <c:ser>
          <c:idx val="9"/>
          <c:order val="9"/>
          <c:tx>
            <c:v>VIN-min</c:v>
          </c:tx>
          <c:spPr>
            <a:ln>
              <a:solidFill>
                <a:srgbClr val="00B050"/>
              </a:solidFill>
              <a:prstDash val="sysDash"/>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344.37481407255473</c:v>
                </c:pt>
                <c:pt idx="35">
                  <c:v>334.5355336704817</c:v>
                </c:pt>
                <c:pt idx="36">
                  <c:v>325.24287995741281</c:v>
                </c:pt>
                <c:pt idx="37">
                  <c:v>316.45253185045567</c:v>
                </c:pt>
                <c:pt idx="38">
                  <c:v>308.12483364386469</c:v>
                </c:pt>
                <c:pt idx="39">
                  <c:v>300.22419688376556</c:v>
                </c:pt>
                <c:pt idx="40">
                  <c:v>292.71859196167145</c:v>
                </c:pt>
                <c:pt idx="41">
                  <c:v>285.57911410894781</c:v>
                </c:pt>
                <c:pt idx="42">
                  <c:v>278.77961139206815</c:v>
                </c:pt>
                <c:pt idx="43">
                  <c:v>272.29636461550842</c:v>
                </c:pt>
                <c:pt idx="44">
                  <c:v>266.10781087424681</c:v>
                </c:pt>
                <c:pt idx="45">
                  <c:v>260.1943039659302</c:v>
                </c:pt>
                <c:pt idx="46">
                  <c:v>254.53790605362735</c:v>
                </c:pt>
                <c:pt idx="47">
                  <c:v>249.1222059248268</c:v>
                </c:pt>
                <c:pt idx="48">
                  <c:v>243.93215996805955</c:v>
                </c:pt>
                <c:pt idx="49">
                  <c:v>238.95395262177266</c:v>
                </c:pt>
                <c:pt idx="50">
                  <c:v>234.17487356933714</c:v>
                </c:pt>
                <c:pt idx="51">
                  <c:v>229.58320938170309</c:v>
                </c:pt>
                <c:pt idx="52">
                  <c:v>225.16814766282417</c:v>
                </c:pt>
                <c:pt idx="53">
                  <c:v>220.9196920465445</c:v>
                </c:pt>
                <c:pt idx="54">
                  <c:v>216.82858663827514</c:v>
                </c:pt>
                <c:pt idx="55">
                  <c:v>212.88624869939744</c:v>
                </c:pt>
                <c:pt idx="56">
                  <c:v>209.08470854405107</c:v>
                </c:pt>
                <c:pt idx="57">
                  <c:v>205.41655576257651</c:v>
                </c:pt>
                <c:pt idx="58">
                  <c:v>201.87489100804933</c:v>
                </c:pt>
                <c:pt idx="59">
                  <c:v>198.45328268587897</c:v>
                </c:pt>
                <c:pt idx="60">
                  <c:v>195.14572797444771</c:v>
                </c:pt>
                <c:pt idx="61">
                  <c:v>191.94661767978459</c:v>
                </c:pt>
                <c:pt idx="62">
                  <c:v>188.85070449140096</c:v>
                </c:pt>
                <c:pt idx="63">
                  <c:v>185.85307426137874</c:v>
                </c:pt>
                <c:pt idx="64">
                  <c:v>182.94911997604467</c:v>
                </c:pt>
                <c:pt idx="65">
                  <c:v>180.50859386086347</c:v>
                </c:pt>
                <c:pt idx="66">
                  <c:v>179.36190205797473</c:v>
                </c:pt>
                <c:pt idx="67">
                  <c:v>178.23039564328349</c:v>
                </c:pt>
                <c:pt idx="68">
                  <c:v>177.11377495581107</c:v>
                </c:pt>
                <c:pt idx="69">
                  <c:v>176.01174816753786</c:v>
                </c:pt>
                <c:pt idx="70">
                  <c:v>174.92403102912905</c:v>
                </c:pt>
                <c:pt idx="71">
                  <c:v>173.85034662550134</c:v>
                </c:pt>
                <c:pt idx="72">
                  <c:v>172.79042514078932</c:v>
                </c:pt>
                <c:pt idx="73">
                  <c:v>171.74400363229302</c:v>
                </c:pt>
                <c:pt idx="74">
                  <c:v>170.71082581300777</c:v>
                </c:pt>
                <c:pt idx="75">
                  <c:v>169.69064184235944</c:v>
                </c:pt>
                <c:pt idx="76">
                  <c:v>168.68320812478589</c:v>
                </c:pt>
                <c:pt idx="77">
                  <c:v>167.6882871158235</c:v>
                </c:pt>
                <c:pt idx="78">
                  <c:v>166.70564713537419</c:v>
                </c:pt>
                <c:pt idx="79">
                  <c:v>165.73506218784559</c:v>
                </c:pt>
                <c:pt idx="80">
                  <c:v>164.77631178886978</c:v>
                </c:pt>
                <c:pt idx="81">
                  <c:v>163.82918079832271</c:v>
                </c:pt>
                <c:pt idx="82">
                  <c:v>162.89345925937772</c:v>
                </c:pt>
                <c:pt idx="83">
                  <c:v>161.96894224334102</c:v>
                </c:pt>
                <c:pt idx="84">
                  <c:v>161.05542970002759</c:v>
                </c:pt>
                <c:pt idx="85">
                  <c:v>160.15272631344868</c:v>
                </c:pt>
                <c:pt idx="86">
                  <c:v>159.2606413625916</c:v>
                </c:pt>
                <c:pt idx="87">
                  <c:v>158.37898858708411</c:v>
                </c:pt>
                <c:pt idx="88">
                  <c:v>157.50758605754373</c:v>
                </c:pt>
                <c:pt idx="89">
                  <c:v>156.64625605042343</c:v>
                </c:pt>
                <c:pt idx="90">
                  <c:v>155.79482492717199</c:v>
                </c:pt>
                <c:pt idx="91">
                  <c:v>154.95312301753694</c:v>
                </c:pt>
                <c:pt idx="92">
                  <c:v>154.1209845068455</c:v>
                </c:pt>
                <c:pt idx="93">
                  <c:v>153.29824732710526</c:v>
                </c:pt>
                <c:pt idx="94">
                  <c:v>152.48475305177601</c:v>
                </c:pt>
                <c:pt idx="95">
                  <c:v>151.68034679406736</c:v>
                </c:pt>
                <c:pt idx="96">
                  <c:v>150.88487710862674</c:v>
                </c:pt>
                <c:pt idx="97">
                  <c:v>150.09819589648527</c:v>
                </c:pt>
                <c:pt idx="98">
                  <c:v>149.32015831313734</c:v>
                </c:pt>
                <c:pt idx="99">
                  <c:v>148.55062267963316</c:v>
                </c:pt>
                <c:pt idx="100">
                  <c:v>147.78945039657023</c:v>
                </c:pt>
              </c:numCache>
            </c:numRef>
          </c:val>
          <c:smooth val="0"/>
        </c:ser>
        <c:ser>
          <c:idx val="10"/>
          <c:order val="10"/>
          <c:tx>
            <c:v>VIN-nom</c:v>
          </c:tx>
          <c:spPr>
            <a:ln w="28575">
              <a:solidFill>
                <a:srgbClr val="0000FF"/>
              </a:solidFill>
              <a:prstDash val="lgDash"/>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345.02683574736409</c:v>
                </c:pt>
                <c:pt idx="53">
                  <c:v>338.51689545024414</c:v>
                </c:pt>
                <c:pt idx="54">
                  <c:v>332.24806405301734</c:v>
                </c:pt>
                <c:pt idx="55">
                  <c:v>326.20719016114424</c:v>
                </c:pt>
                <c:pt idx="56">
                  <c:v>320.38206176540962</c:v>
                </c:pt>
                <c:pt idx="57">
                  <c:v>314.76132383970071</c:v>
                </c:pt>
                <c:pt idx="58">
                  <c:v>309.33440446315421</c:v>
                </c:pt>
                <c:pt idx="59">
                  <c:v>304.09144845530398</c:v>
                </c:pt>
                <c:pt idx="60">
                  <c:v>299.0232576477157</c:v>
                </c:pt>
                <c:pt idx="61">
                  <c:v>294.12123703053999</c:v>
                </c:pt>
                <c:pt idx="62">
                  <c:v>289.37734611069254</c:v>
                </c:pt>
                <c:pt idx="63">
                  <c:v>284.78405490258638</c:v>
                </c:pt>
                <c:pt idx="64">
                  <c:v>280.33430404473341</c:v>
                </c:pt>
                <c:pt idx="65">
                  <c:v>276.02146859789133</c:v>
                </c:pt>
                <c:pt idx="66">
                  <c:v>271.83932513428698</c:v>
                </c:pt>
                <c:pt idx="67">
                  <c:v>267.78202177407371</c:v>
                </c:pt>
                <c:pt idx="68">
                  <c:v>263.84405086563146</c:v>
                </c:pt>
                <c:pt idx="69">
                  <c:v>260.02022404149187</c:v>
                </c:pt>
                <c:pt idx="70">
                  <c:v>256.30564941232774</c:v>
                </c:pt>
                <c:pt idx="71">
                  <c:v>252.69571068821045</c:v>
                </c:pt>
                <c:pt idx="72">
                  <c:v>249.18604803976308</c:v>
                </c:pt>
                <c:pt idx="73">
                  <c:v>245.77254053236905</c:v>
                </c:pt>
                <c:pt idx="74">
                  <c:v>242.45128998463434</c:v>
                </c:pt>
                <c:pt idx="75">
                  <c:v>239.21860611817246</c:v>
                </c:pt>
                <c:pt idx="76">
                  <c:v>236.0709928797755</c:v>
                </c:pt>
                <c:pt idx="77">
                  <c:v>233.00513582938882</c:v>
                </c:pt>
                <c:pt idx="78">
                  <c:v>230.01789049824279</c:v>
                </c:pt>
                <c:pt idx="79">
                  <c:v>227.10627163117641</c:v>
                </c:pt>
                <c:pt idx="80">
                  <c:v>224.26744323578671</c:v>
                </c:pt>
                <c:pt idx="81">
                  <c:v>222.60018362933715</c:v>
                </c:pt>
                <c:pt idx="82">
                  <c:v>221.19171485436158</c:v>
                </c:pt>
                <c:pt idx="83">
                  <c:v>219.80166081074259</c:v>
                </c:pt>
                <c:pt idx="84">
                  <c:v>218.42966270461915</c:v>
                </c:pt>
                <c:pt idx="85">
                  <c:v>217.07537100300166</c:v>
                </c:pt>
                <c:pt idx="86">
                  <c:v>215.73844513689639</c:v>
                </c:pt>
                <c:pt idx="87">
                  <c:v>214.41855321577634</c:v>
                </c:pt>
                <c:pt idx="88">
                  <c:v>213.11537175289791</c:v>
                </c:pt>
                <c:pt idx="89">
                  <c:v>211.82858540098408</c:v>
                </c:pt>
                <c:pt idx="90">
                  <c:v>210.55788669782177</c:v>
                </c:pt>
                <c:pt idx="91">
                  <c:v>209.30297582134105</c:v>
                </c:pt>
                <c:pt idx="92">
                  <c:v>208.06356035376777</c:v>
                </c:pt>
                <c:pt idx="93">
                  <c:v>206.83935505445868</c:v>
                </c:pt>
                <c:pt idx="94">
                  <c:v>205.63008164104917</c:v>
                </c:pt>
                <c:pt idx="95">
                  <c:v>204.43546857856026</c:v>
                </c:pt>
                <c:pt idx="96">
                  <c:v>203.25525087613002</c:v>
                </c:pt>
                <c:pt idx="97">
                  <c:v>202.08916989104893</c:v>
                </c:pt>
                <c:pt idx="98">
                  <c:v>200.9369731397951</c:v>
                </c:pt>
                <c:pt idx="99">
                  <c:v>199.79841411577982</c:v>
                </c:pt>
                <c:pt idx="100">
                  <c:v>198.67325211352602</c:v>
                </c:pt>
              </c:numCache>
            </c:numRef>
          </c:val>
          <c:smooth val="0"/>
        </c:ser>
        <c:ser>
          <c:idx val="11"/>
          <c:order val="11"/>
          <c:tx>
            <c:v>VIN-max</c:v>
          </c:tx>
          <c:spPr>
            <a:ln>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Dual'!$AM$218:$AM$318</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12"/>
          <c:order val="12"/>
          <c:spPr>
            <a:ln>
              <a:noFill/>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Dual'!$CE$110:$CE$210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180.50859386086347</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3"/>
          <c:order val="13"/>
          <c:spPr>
            <a:ln>
              <a:noFill/>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Dual'!$CE$5:$CE$105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4"/>
          <c:order val="14"/>
          <c:spPr>
            <a:ln>
              <a:noFill/>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Dual'!$CE$218:$CE$318</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15"/>
          <c:order val="15"/>
          <c:tx>
            <c:v>D1</c:v>
          </c:tx>
          <c:spPr>
            <a:ln w="25400">
              <a:solidFill>
                <a:srgbClr val="0000FF"/>
              </a:solidFill>
              <a:prstDash val="lgDash"/>
            </a:ln>
          </c:spPr>
          <c:marker>
            <c:symbol val="none"/>
          </c:marker>
          <c:val>
            <c:numRef>
              <c:f>'Calculations - Dual'!$AU$5:$AU$105</c:f>
              <c:numCache>
                <c:formatCode>0.000</c:formatCode>
                <c:ptCount val="101"/>
                <c:pt idx="0">
                  <c:v>4.2518518518518513E-3</c:v>
                </c:pt>
                <c:pt idx="1">
                  <c:v>1.7705510388437217E-2</c:v>
                </c:pt>
                <c:pt idx="2">
                  <c:v>3.5411020776874434E-2</c:v>
                </c:pt>
                <c:pt idx="3">
                  <c:v>5.3116531165311669E-2</c:v>
                </c:pt>
                <c:pt idx="4">
                  <c:v>7.0822041553748868E-2</c:v>
                </c:pt>
                <c:pt idx="5">
                  <c:v>8.8527551942186117E-2</c:v>
                </c:pt>
                <c:pt idx="6">
                  <c:v>0.11324413752179102</c:v>
                </c:pt>
                <c:pt idx="7">
                  <c:v>0.14270392322930481</c:v>
                </c:pt>
                <c:pt idx="8">
                  <c:v>0.17435075541960809</c:v>
                </c:pt>
                <c:pt idx="9">
                  <c:v>0.19428882661683899</c:v>
                </c:pt>
                <c:pt idx="10">
                  <c:v>0.20479840534358593</c:v>
                </c:pt>
                <c:pt idx="11">
                  <c:v>0.21479437961549014</c:v>
                </c:pt>
                <c:pt idx="12">
                  <c:v>0.22434541269553704</c:v>
                </c:pt>
                <c:pt idx="13">
                  <c:v>0.23350610887224868</c:v>
                </c:pt>
                <c:pt idx="14">
                  <c:v>0.24232074109284579</c:v>
                </c:pt>
                <c:pt idx="15">
                  <c:v>0.25082579661373267</c:v>
                </c:pt>
                <c:pt idx="16">
                  <c:v>0.25905176882245201</c:v>
                </c:pt>
                <c:pt idx="17">
                  <c:v>0.26702445133951441</c:v>
                </c:pt>
                <c:pt idx="18">
                  <c:v>0.27476589361908854</c:v>
                </c:pt>
                <c:pt idx="19">
                  <c:v>0.28229512036063226</c:v>
                </c:pt>
                <c:pt idx="20">
                  <c:v>0.2896286823892818</c:v>
                </c:pt>
                <c:pt idx="21">
                  <c:v>0.296781084885272</c:v>
                </c:pt>
                <c:pt idx="22">
                  <c:v>0.30376512477374124</c:v>
                </c:pt>
                <c:pt idx="23">
                  <c:v>0.3105921597721587</c:v>
                </c:pt>
                <c:pt idx="24">
                  <c:v>0.3172723252902177</c:v>
                </c:pt>
                <c:pt idx="25">
                  <c:v>0.32381471102806508</c:v>
                </c:pt>
                <c:pt idx="26">
                  <c:v>0.33022750606410251</c:v>
                </c:pt>
                <c:pt idx="27">
                  <c:v>0.33651811904330564</c:v>
                </c:pt>
                <c:pt idx="28">
                  <c:v>0.34269327849780185</c:v>
                </c:pt>
                <c:pt idx="29">
                  <c:v>0.34875911717215302</c:v>
                </c:pt>
                <c:pt idx="30">
                  <c:v>0.35472124336417621</c:v>
                </c:pt>
                <c:pt idx="31">
                  <c:v>0.36058480164443246</c:v>
                </c:pt>
                <c:pt idx="32">
                  <c:v>0.36635452482545139</c:v>
                </c:pt>
                <c:pt idx="33">
                  <c:v>0.37203477867426565</c:v>
                </c:pt>
                <c:pt idx="34">
                  <c:v>0.37762960056957584</c:v>
                </c:pt>
                <c:pt idx="35">
                  <c:v>0.38314273307667607</c:v>
                </c:pt>
                <c:pt idx="36">
                  <c:v>0.38857765323367799</c:v>
                </c:pt>
                <c:pt idx="37">
                  <c:v>0.39393759820017199</c:v>
                </c:pt>
                <c:pt idx="38">
                  <c:v>0.39922558780575135</c:v>
                </c:pt>
                <c:pt idx="39">
                  <c:v>0.4044444444444445</c:v>
                </c:pt>
                <c:pt idx="40">
                  <c:v>0.40959681068717185</c:v>
                </c:pt>
                <c:pt idx="41">
                  <c:v>0.41468516492422353</c:v>
                </c:pt>
                <c:pt idx="42">
                  <c:v>0.41971183530055228</c:v>
                </c:pt>
                <c:pt idx="43">
                  <c:v>0.42467901216623072</c:v>
                </c:pt>
                <c:pt idx="44">
                  <c:v>0.42958875923098028</c:v>
                </c:pt>
                <c:pt idx="45">
                  <c:v>0.43444302358392262</c:v>
                </c:pt>
                <c:pt idx="46">
                  <c:v>0.43924364471653798</c:v>
                </c:pt>
                <c:pt idx="47">
                  <c:v>0.44399236266741782</c:v>
                </c:pt>
                <c:pt idx="48">
                  <c:v>0.44869082539107408</c:v>
                </c:pt>
                <c:pt idx="49">
                  <c:v>0.45334059543929112</c:v>
                </c:pt>
                <c:pt idx="50">
                  <c:v>0.45794315603181424</c:v>
                </c:pt>
                <c:pt idx="51">
                  <c:v>0.46249991658324241</c:v>
                </c:pt>
                <c:pt idx="52">
                  <c:v>0.46037642212497976</c:v>
                </c:pt>
                <c:pt idx="53">
                  <c:v>0.4560125660823825</c:v>
                </c:pt>
                <c:pt idx="54">
                  <c:v>0.45177049652260287</c:v>
                </c:pt>
                <c:pt idx="55">
                  <c:v>0.44764465214207727</c:v>
                </c:pt>
                <c:pt idx="56">
                  <c:v>0.44362982079913116</c:v>
                </c:pt>
                <c:pt idx="57">
                  <c:v>0.43972111182508111</c:v>
                </c:pt>
                <c:pt idx="58">
                  <c:v>0.43591393097259945</c:v>
                </c:pt>
                <c:pt idx="59">
                  <c:v>0.43220395770952957</c:v>
                </c:pt>
                <c:pt idx="60">
                  <c:v>0.42858712460298126</c:v>
                </c:pt>
                <c:pt idx="61">
                  <c:v>0.42505959857002334</c:v>
                </c:pt>
                <c:pt idx="62">
                  <c:v>0.42161776379848692</c:v>
                </c:pt>
                <c:pt idx="63">
                  <c:v>0.41825820616485138</c:v>
                </c:pt>
                <c:pt idx="64">
                  <c:v>0.41497769899656722</c:v>
                </c:pt>
                <c:pt idx="65">
                  <c:v>0.41177319004383722</c:v>
                </c:pt>
                <c:pt idx="66">
                  <c:v>0.40864178954128172</c:v>
                </c:pt>
                <c:pt idx="67">
                  <c:v>0.40558075925334963</c:v>
                </c:pt>
                <c:pt idx="68">
                  <c:v>0.40258750240908669</c:v>
                </c:pt>
                <c:pt idx="69">
                  <c:v>0.39965955444217044</c:v>
                </c:pt>
                <c:pt idx="70">
                  <c:v>0.3967945744611629</c:v>
                </c:pt>
                <c:pt idx="71">
                  <c:v>0.39399033738289274</c:v>
                </c:pt>
                <c:pt idx="72">
                  <c:v>0.3912447266688836</c:v>
                </c:pt>
                <c:pt idx="73">
                  <c:v>0.38855572761095031</c:v>
                </c:pt>
                <c:pt idx="74">
                  <c:v>0.38592142111755467</c:v>
                </c:pt>
                <c:pt idx="75">
                  <c:v>0.38333997795737523</c:v>
                </c:pt>
                <c:pt idx="76">
                  <c:v>0.38080965342085815</c:v>
                </c:pt>
                <c:pt idx="77">
                  <c:v>0.37832878236434347</c:v>
                </c:pt>
                <c:pt idx="78">
                  <c:v>0.37589577460478552</c:v>
                </c:pt>
                <c:pt idx="79">
                  <c:v>0.37350911063612741</c:v>
                </c:pt>
                <c:pt idx="80">
                  <c:v>0.37116733764110832</c:v>
                </c:pt>
                <c:pt idx="81">
                  <c:v>0.37070338698888705</c:v>
                </c:pt>
                <c:pt idx="82">
                  <c:v>0.37062465647625359</c:v>
                </c:pt>
                <c:pt idx="83">
                  <c:v>0.37053440728653797</c:v>
                </c:pt>
                <c:pt idx="84">
                  <c:v>0.37043309867771945</c:v>
                </c:pt>
                <c:pt idx="85">
                  <c:v>0.37032117107005535</c:v>
                </c:pt>
                <c:pt idx="86">
                  <c:v>0.45864395373547595</c:v>
                </c:pt>
                <c:pt idx="87">
                  <c:v>0.45583796128094678</c:v>
                </c:pt>
                <c:pt idx="88">
                  <c:v>0.45306749402282737</c:v>
                </c:pt>
                <c:pt idx="89">
                  <c:v>0.45033188155616616</c:v>
                </c:pt>
                <c:pt idx="90">
                  <c:v>0.44763047023907293</c:v>
                </c:pt>
                <c:pt idx="91">
                  <c:v>0.44496262267203612</c:v>
                </c:pt>
                <c:pt idx="92">
                  <c:v>0.44232771719652852</c:v>
                </c:pt>
                <c:pt idx="93">
                  <c:v>0.43972514741207136</c:v>
                </c:pt>
                <c:pt idx="94">
                  <c:v>0.43715432171097118</c:v>
                </c:pt>
                <c:pt idx="95">
                  <c:v>0.43461466282997618</c:v>
                </c:pt>
                <c:pt idx="96">
                  <c:v>0.43210560741814302</c:v>
                </c:pt>
                <c:pt idx="97">
                  <c:v>0.42962660562022992</c:v>
                </c:pt>
                <c:pt idx="98">
                  <c:v>0.42717712067497171</c:v>
                </c:pt>
                <c:pt idx="99">
                  <c:v>0.42475662852762081</c:v>
                </c:pt>
                <c:pt idx="100">
                  <c:v>0.42236461745616266</c:v>
                </c:pt>
              </c:numCache>
            </c:numRef>
          </c:val>
          <c:smooth val="0"/>
        </c:ser>
        <c:ser>
          <c:idx val="16"/>
          <c:order val="16"/>
          <c:spPr>
            <a:ln w="25400">
              <a:solidFill>
                <a:srgbClr val="00B050"/>
              </a:solidFill>
              <a:prstDash val="dash"/>
            </a:ln>
          </c:spPr>
          <c:marker>
            <c:symbol val="none"/>
          </c:marker>
          <c:val>
            <c:numRef>
              <c:f>'Calculations - Dual'!$AU$110:$AU$210</c:f>
              <c:numCache>
                <c:formatCode>0.000</c:formatCode>
                <c:ptCount val="101"/>
                <c:pt idx="0">
                  <c:v>6.3777777777777765E-3</c:v>
                </c:pt>
                <c:pt idx="1">
                  <c:v>2.6558265582655827E-2</c:v>
                </c:pt>
                <c:pt idx="2">
                  <c:v>5.3116531165311655E-2</c:v>
                </c:pt>
                <c:pt idx="3">
                  <c:v>7.96747967479675E-2</c:v>
                </c:pt>
                <c:pt idx="4">
                  <c:v>0.10623306233062331</c:v>
                </c:pt>
                <c:pt idx="5">
                  <c:v>0.13279132791327916</c:v>
                </c:pt>
                <c:pt idx="6">
                  <c:v>0.16986620628268653</c:v>
                </c:pt>
                <c:pt idx="7">
                  <c:v>0.21405588484395724</c:v>
                </c:pt>
                <c:pt idx="8">
                  <c:v>0.26152613312941214</c:v>
                </c:pt>
                <c:pt idx="9">
                  <c:v>0.29143323992525855</c:v>
                </c:pt>
                <c:pt idx="10">
                  <c:v>0.30719760801537888</c:v>
                </c:pt>
                <c:pt idx="11">
                  <c:v>0.32219156942323524</c:v>
                </c:pt>
                <c:pt idx="12">
                  <c:v>0.33651811904330564</c:v>
                </c:pt>
                <c:pt idx="13">
                  <c:v>0.35025916330837309</c:v>
                </c:pt>
                <c:pt idx="14">
                  <c:v>0.36348111163926872</c:v>
                </c:pt>
                <c:pt idx="15">
                  <c:v>0.37623869492059903</c:v>
                </c:pt>
                <c:pt idx="16">
                  <c:v>0.3885776532336781</c:v>
                </c:pt>
                <c:pt idx="17">
                  <c:v>0.40053667700927165</c:v>
                </c:pt>
                <c:pt idx="18">
                  <c:v>0.41214884042863281</c:v>
                </c:pt>
                <c:pt idx="19">
                  <c:v>0.42344268054094847</c:v>
                </c:pt>
                <c:pt idx="20">
                  <c:v>0.43444302358392262</c:v>
                </c:pt>
                <c:pt idx="21">
                  <c:v>0.44517162732790794</c:v>
                </c:pt>
                <c:pt idx="22">
                  <c:v>0.45564768716061188</c:v>
                </c:pt>
                <c:pt idx="23">
                  <c:v>0.46588823965823806</c:v>
                </c:pt>
                <c:pt idx="24">
                  <c:v>0.47590848793532653</c:v>
                </c:pt>
                <c:pt idx="25">
                  <c:v>0.48572206654209765</c:v>
                </c:pt>
                <c:pt idx="26">
                  <c:v>0.49534125909615373</c:v>
                </c:pt>
                <c:pt idx="27">
                  <c:v>0.50477717856495852</c:v>
                </c:pt>
                <c:pt idx="28">
                  <c:v>0.51403991774670277</c:v>
                </c:pt>
                <c:pt idx="29">
                  <c:v>0.52313867575822948</c:v>
                </c:pt>
                <c:pt idx="30">
                  <c:v>0.53208186504626431</c:v>
                </c:pt>
                <c:pt idx="31">
                  <c:v>0.54087720246664872</c:v>
                </c:pt>
                <c:pt idx="32">
                  <c:v>0.54953178723817719</c:v>
                </c:pt>
                <c:pt idx="33">
                  <c:v>0.55805216801139845</c:v>
                </c:pt>
                <c:pt idx="34">
                  <c:v>0.55734052921903199</c:v>
                </c:pt>
                <c:pt idx="35">
                  <c:v>0.57647058823529407</c:v>
                </c:pt>
                <c:pt idx="36">
                  <c:v>0.57647058823529418</c:v>
                </c:pt>
                <c:pt idx="37">
                  <c:v>0.57647058823529407</c:v>
                </c:pt>
                <c:pt idx="38">
                  <c:v>0.57647058823529407</c:v>
                </c:pt>
                <c:pt idx="39">
                  <c:v>0.57647058823529407</c:v>
                </c:pt>
                <c:pt idx="40">
                  <c:v>0.57647058823529407</c:v>
                </c:pt>
                <c:pt idx="41">
                  <c:v>0.57647058823529407</c:v>
                </c:pt>
                <c:pt idx="42">
                  <c:v>0.57647058823529418</c:v>
                </c:pt>
                <c:pt idx="43">
                  <c:v>0.57647058823529418</c:v>
                </c:pt>
                <c:pt idx="44">
                  <c:v>0.57647058823529418</c:v>
                </c:pt>
                <c:pt idx="45">
                  <c:v>0.57647058823529418</c:v>
                </c:pt>
                <c:pt idx="46">
                  <c:v>0.57647058823529407</c:v>
                </c:pt>
                <c:pt idx="47">
                  <c:v>0.57647058823529407</c:v>
                </c:pt>
                <c:pt idx="48">
                  <c:v>0.57647058823529418</c:v>
                </c:pt>
                <c:pt idx="49">
                  <c:v>0.57647058823529418</c:v>
                </c:pt>
                <c:pt idx="50">
                  <c:v>0.57647058823529407</c:v>
                </c:pt>
                <c:pt idx="51">
                  <c:v>0.57647058823529407</c:v>
                </c:pt>
                <c:pt idx="52">
                  <c:v>0.57647058823529407</c:v>
                </c:pt>
                <c:pt idx="53">
                  <c:v>0.57647058823529418</c:v>
                </c:pt>
                <c:pt idx="54">
                  <c:v>0.57647058823529418</c:v>
                </c:pt>
                <c:pt idx="55">
                  <c:v>0.57647058823529429</c:v>
                </c:pt>
                <c:pt idx="56">
                  <c:v>0.57647058823529396</c:v>
                </c:pt>
                <c:pt idx="57">
                  <c:v>0.57647058823529407</c:v>
                </c:pt>
                <c:pt idx="58">
                  <c:v>0.57647058823529396</c:v>
                </c:pt>
                <c:pt idx="59">
                  <c:v>0.57647058823529418</c:v>
                </c:pt>
                <c:pt idx="60">
                  <c:v>0.57647058823529407</c:v>
                </c:pt>
                <c:pt idx="61">
                  <c:v>0.57647058823529407</c:v>
                </c:pt>
                <c:pt idx="62">
                  <c:v>0.57647058823529407</c:v>
                </c:pt>
                <c:pt idx="63">
                  <c:v>0.57647058823529407</c:v>
                </c:pt>
                <c:pt idx="64">
                  <c:v>0.57647058823529407</c:v>
                </c:pt>
                <c:pt idx="65">
                  <c:v>0.57562184931186455</c:v>
                </c:pt>
                <c:pt idx="66">
                  <c:v>0.57196517656265267</c:v>
                </c:pt>
                <c:pt idx="67">
                  <c:v>0.5683569283291372</c:v>
                </c:pt>
                <c:pt idx="68">
                  <c:v>0.56479614902575304</c:v>
                </c:pt>
                <c:pt idx="69">
                  <c:v>0.56128190804537059</c:v>
                </c:pt>
                <c:pt idx="70">
                  <c:v>0.55781329894844489</c:v>
                </c:pt>
                <c:pt idx="71">
                  <c:v>0.55438943868354318</c:v>
                </c:pt>
                <c:pt idx="72">
                  <c:v>0.55100946683785046</c:v>
                </c:pt>
                <c:pt idx="73">
                  <c:v>0.54767254491631212</c:v>
                </c:pt>
                <c:pt idx="74">
                  <c:v>0.544377855648147</c:v>
                </c:pt>
                <c:pt idx="75">
                  <c:v>0.54112460231952397</c:v>
                </c:pt>
                <c:pt idx="76">
                  <c:v>0.53791200813126161</c:v>
                </c:pt>
                <c:pt idx="77">
                  <c:v>0.5347393155804594</c:v>
                </c:pt>
                <c:pt idx="78">
                  <c:v>0.53160578586502649</c:v>
                </c:pt>
                <c:pt idx="79">
                  <c:v>0.52851069831012976</c:v>
                </c:pt>
                <c:pt idx="80">
                  <c:v>0.52545334981561809</c:v>
                </c:pt>
                <c:pt idx="81">
                  <c:v>0.52243305432354015</c:v>
                </c:pt>
                <c:pt idx="82">
                  <c:v>0.51944914230490447</c:v>
                </c:pt>
                <c:pt idx="83">
                  <c:v>0.51650096026487635</c:v>
                </c:pt>
                <c:pt idx="84">
                  <c:v>0.51358787026564345</c:v>
                </c:pt>
                <c:pt idx="85">
                  <c:v>0.51070924946621965</c:v>
                </c:pt>
                <c:pt idx="86">
                  <c:v>0.50786448967848652</c:v>
                </c:pt>
                <c:pt idx="87">
                  <c:v>0.50505299693881256</c:v>
                </c:pt>
                <c:pt idx="88">
                  <c:v>0.50227419109461169</c:v>
                </c:pt>
                <c:pt idx="89">
                  <c:v>0.49952750540523916</c:v>
                </c:pt>
                <c:pt idx="90">
                  <c:v>0.49681238615664836</c:v>
                </c:pt>
                <c:pt idx="91">
                  <c:v>0.49412829228925664</c:v>
                </c:pt>
                <c:pt idx="92">
                  <c:v>0.49147469503849617</c:v>
                </c:pt>
                <c:pt idx="93">
                  <c:v>0.4888510775875467</c:v>
                </c:pt>
                <c:pt idx="94">
                  <c:v>0.48625693473177461</c:v>
                </c:pt>
                <c:pt idx="95">
                  <c:v>0.48369177255441476</c:v>
                </c:pt>
                <c:pt idx="96">
                  <c:v>0.48115510811306522</c:v>
                </c:pt>
                <c:pt idx="97">
                  <c:v>0.47864646913656961</c:v>
                </c:pt>
                <c:pt idx="98">
                  <c:v>0.47616539373189348</c:v>
                </c:pt>
                <c:pt idx="99">
                  <c:v>0.47371143010060796</c:v>
                </c:pt>
                <c:pt idx="100">
                  <c:v>0.4712841362646184</c:v>
                </c:pt>
              </c:numCache>
            </c:numRef>
          </c:val>
          <c:smooth val="0"/>
        </c:ser>
        <c:ser>
          <c:idx val="17"/>
          <c:order val="17"/>
          <c:spPr>
            <a:ln w="25400">
              <a:solidFill>
                <a:srgbClr val="FF0000"/>
              </a:solidFill>
            </a:ln>
          </c:spPr>
          <c:marker>
            <c:symbol val="none"/>
          </c:marker>
          <c:val>
            <c:numRef>
              <c:f>'Calculations - Dual'!$AU$218:$AU$318</c:f>
              <c:numCache>
                <c:formatCode>0.000</c:formatCode>
                <c:ptCount val="101"/>
                <c:pt idx="0">
                  <c:v>1.3666666666666666E-3</c:v>
                </c:pt>
                <c:pt idx="1">
                  <c:v>5.691056910569107E-3</c:v>
                </c:pt>
                <c:pt idx="2">
                  <c:v>1.1382113821138214E-2</c:v>
                </c:pt>
                <c:pt idx="3">
                  <c:v>1.7073170731707325E-2</c:v>
                </c:pt>
                <c:pt idx="4">
                  <c:v>2.2764227642276428E-2</c:v>
                </c:pt>
                <c:pt idx="5">
                  <c:v>2.8455284552845541E-2</c:v>
                </c:pt>
                <c:pt idx="6">
                  <c:v>3.6399901346289967E-2</c:v>
                </c:pt>
                <c:pt idx="7">
                  <c:v>4.5869118180847983E-2</c:v>
                </c:pt>
                <c:pt idx="8">
                  <c:v>5.6041314242016901E-2</c:v>
                </c:pt>
                <c:pt idx="9">
                  <c:v>6.2449979983983973E-2</c:v>
                </c:pt>
                <c:pt idx="10">
                  <c:v>6.5828058860438313E-2</c:v>
                </c:pt>
                <c:pt idx="11">
                  <c:v>6.9041050590693265E-2</c:v>
                </c:pt>
                <c:pt idx="12">
                  <c:v>7.2111025509279766E-2</c:v>
                </c:pt>
                <c:pt idx="13">
                  <c:v>7.5055534994651368E-2</c:v>
                </c:pt>
                <c:pt idx="14">
                  <c:v>7.7888809636986148E-2</c:v>
                </c:pt>
                <c:pt idx="15">
                  <c:v>8.06225774829855E-2</c:v>
                </c:pt>
                <c:pt idx="16">
                  <c:v>8.3266639978645307E-2</c:v>
                </c:pt>
                <c:pt idx="17">
                  <c:v>8.5829287930558204E-2</c:v>
                </c:pt>
                <c:pt idx="18">
                  <c:v>8.8317608663278452E-2</c:v>
                </c:pt>
                <c:pt idx="19">
                  <c:v>9.0737717258774664E-2</c:v>
                </c:pt>
                <c:pt idx="20">
                  <c:v>9.3094933625126275E-2</c:v>
                </c:pt>
                <c:pt idx="21">
                  <c:v>9.5393920141694552E-2</c:v>
                </c:pt>
                <c:pt idx="22">
                  <c:v>9.7638790105845405E-2</c:v>
                </c:pt>
                <c:pt idx="23">
                  <c:v>9.983319421247959E-2</c:v>
                </c:pt>
                <c:pt idx="24">
                  <c:v>0.10198039027185568</c:v>
                </c:pt>
                <c:pt idx="25">
                  <c:v>0.10408329997330662</c:v>
                </c:pt>
                <c:pt idx="26">
                  <c:v>0.10614455552060439</c:v>
                </c:pt>
                <c:pt idx="27">
                  <c:v>0.10816653826391967</c:v>
                </c:pt>
                <c:pt idx="28">
                  <c:v>0.11015141094572203</c:v>
                </c:pt>
                <c:pt idx="29">
                  <c:v>0.11210114480533488</c:v>
                </c:pt>
                <c:pt idx="30">
                  <c:v>0.11401754250991379</c:v>
                </c:pt>
                <c:pt idx="31">
                  <c:v>0.11590225767142472</c:v>
                </c:pt>
                <c:pt idx="32">
                  <c:v>0.11775681155103798</c:v>
                </c:pt>
                <c:pt idx="33">
                  <c:v>0.11958260743101397</c:v>
                </c:pt>
                <c:pt idx="34">
                  <c:v>0.1213809430402208</c:v>
                </c:pt>
                <c:pt idx="35">
                  <c:v>0.12315302134607445</c:v>
                </c:pt>
                <c:pt idx="36">
                  <c:v>0.12489995996796795</c:v>
                </c:pt>
                <c:pt idx="37">
                  <c:v>0.12662279942148383</c:v>
                </c:pt>
                <c:pt idx="38">
                  <c:v>0.12832251036613437</c:v>
                </c:pt>
                <c:pt idx="39">
                  <c:v>0.12999999999999998</c:v>
                </c:pt>
                <c:pt idx="40">
                  <c:v>0.13165611772087663</c:v>
                </c:pt>
                <c:pt idx="41">
                  <c:v>0.1332916601542147</c:v>
                </c:pt>
                <c:pt idx="42">
                  <c:v>0.13490737563232039</c:v>
                </c:pt>
                <c:pt idx="43">
                  <c:v>0.13650396819628846</c:v>
                </c:pt>
                <c:pt idx="44">
                  <c:v>0.13808210118138653</c:v>
                </c:pt>
                <c:pt idx="45">
                  <c:v>0.13964240043768941</c:v>
                </c:pt>
                <c:pt idx="46">
                  <c:v>0.14118545723031578</c:v>
                </c:pt>
                <c:pt idx="47">
                  <c:v>0.14271183085738429</c:v>
                </c:pt>
                <c:pt idx="48">
                  <c:v>0.14422205101855953</c:v>
                </c:pt>
                <c:pt idx="49">
                  <c:v>0.14571661996262927</c:v>
                </c:pt>
                <c:pt idx="50">
                  <c:v>0.14719601443879746</c:v>
                </c:pt>
                <c:pt idx="51">
                  <c:v>0.14866068747318509</c:v>
                </c:pt>
                <c:pt idx="52">
                  <c:v>0.15011106998930274</c:v>
                </c:pt>
                <c:pt idx="53">
                  <c:v>0.15154757228892407</c:v>
                </c:pt>
                <c:pt idx="54">
                  <c:v>0.15297058540778352</c:v>
                </c:pt>
                <c:pt idx="55">
                  <c:v>0.15438048235879215</c:v>
                </c:pt>
                <c:pt idx="56">
                  <c:v>0.1557776192739723</c:v>
                </c:pt>
                <c:pt idx="57">
                  <c:v>0.15716233645501707</c:v>
                </c:pt>
                <c:pt idx="58">
                  <c:v>0.15853495934125483</c:v>
                </c:pt>
                <c:pt idx="59">
                  <c:v>0.15989579940281942</c:v>
                </c:pt>
                <c:pt idx="60">
                  <c:v>0.161245154965971</c:v>
                </c:pt>
                <c:pt idx="61">
                  <c:v>0.16258331197676262</c:v>
                </c:pt>
                <c:pt idx="62">
                  <c:v>0.16391054470858993</c:v>
                </c:pt>
                <c:pt idx="63">
                  <c:v>0.16522711641858301</c:v>
                </c:pt>
                <c:pt idx="64">
                  <c:v>0.16653327995729061</c:v>
                </c:pt>
                <c:pt idx="65">
                  <c:v>0.16782927833565472</c:v>
                </c:pt>
                <c:pt idx="66">
                  <c:v>0.16911534525287758</c:v>
                </c:pt>
                <c:pt idx="67">
                  <c:v>0.17039170558842745</c:v>
                </c:pt>
                <c:pt idx="68">
                  <c:v>0.17165857586111641</c:v>
                </c:pt>
                <c:pt idx="69">
                  <c:v>0.1729161646579058</c:v>
                </c:pt>
                <c:pt idx="70">
                  <c:v>0.1741646730348417</c:v>
                </c:pt>
                <c:pt idx="71">
                  <c:v>0.17540429489230491</c:v>
                </c:pt>
                <c:pt idx="72">
                  <c:v>0.1766352173265569</c:v>
                </c:pt>
                <c:pt idx="73">
                  <c:v>0.17785762095938798</c:v>
                </c:pt>
                <c:pt idx="74">
                  <c:v>0.17907168024751055</c:v>
                </c:pt>
                <c:pt idx="75">
                  <c:v>0.18027756377319945</c:v>
                </c:pt>
                <c:pt idx="76">
                  <c:v>0.18147543451754933</c:v>
                </c:pt>
                <c:pt idx="77">
                  <c:v>0.18266545011760346</c:v>
                </c:pt>
                <c:pt idx="78">
                  <c:v>0.18384776310850237</c:v>
                </c:pt>
                <c:pt idx="79">
                  <c:v>0.18502252115170556</c:v>
                </c:pt>
                <c:pt idx="80">
                  <c:v>0.18618986725025255</c:v>
                </c:pt>
                <c:pt idx="81">
                  <c:v>0.18734993995195195</c:v>
                </c:pt>
                <c:pt idx="82">
                  <c:v>0.1885028735413159</c:v>
                </c:pt>
                <c:pt idx="83">
                  <c:v>0.18964879822099234</c:v>
                </c:pt>
                <c:pt idx="84">
                  <c:v>0.1907878402833891</c:v>
                </c:pt>
                <c:pt idx="85">
                  <c:v>0.19192012227313041</c:v>
                </c:pt>
                <c:pt idx="86">
                  <c:v>0.19304576314093674</c:v>
                </c:pt>
                <c:pt idx="87">
                  <c:v>0.19416487838947596</c:v>
                </c:pt>
                <c:pt idx="88">
                  <c:v>0.19527758021169081</c:v>
                </c:pt>
                <c:pt idx="89">
                  <c:v>0.19638397762207249</c:v>
                </c:pt>
                <c:pt idx="90">
                  <c:v>0.19748417658131501</c:v>
                </c:pt>
                <c:pt idx="91">
                  <c:v>0.19857828011475306</c:v>
                </c:pt>
                <c:pt idx="92">
                  <c:v>0.19966638842495918</c:v>
                </c:pt>
                <c:pt idx="93">
                  <c:v>0.20074859899884728</c:v>
                </c:pt>
                <c:pt idx="94">
                  <c:v>0.20182500670960807</c:v>
                </c:pt>
                <c:pt idx="95">
                  <c:v>0.20289570391377598</c:v>
                </c:pt>
                <c:pt idx="96">
                  <c:v>0.20396078054371136</c:v>
                </c:pt>
                <c:pt idx="97">
                  <c:v>0.20502032419575708</c:v>
                </c:pt>
                <c:pt idx="98">
                  <c:v>0.20607442021431641</c:v>
                </c:pt>
                <c:pt idx="99">
                  <c:v>0.20712315177207979</c:v>
                </c:pt>
                <c:pt idx="100">
                  <c:v>0.20816659994661324</c:v>
                </c:pt>
              </c:numCache>
            </c:numRef>
          </c:val>
          <c:smooth val="0"/>
        </c:ser>
        <c:ser>
          <c:idx val="1"/>
          <c:order val="0"/>
          <c:tx>
            <c:v>VIN-min</c:v>
          </c:tx>
          <c:spPr>
            <a:ln>
              <a:solidFill>
                <a:srgbClr val="00B050"/>
              </a:solidFill>
              <a:prstDash val="sysDash"/>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Dual'!$AM$110:$AM$210</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344.37481407255473</c:v>
                </c:pt>
                <c:pt idx="35">
                  <c:v>334.5355336704817</c:v>
                </c:pt>
                <c:pt idx="36">
                  <c:v>325.24287995741281</c:v>
                </c:pt>
                <c:pt idx="37">
                  <c:v>316.45253185045567</c:v>
                </c:pt>
                <c:pt idx="38">
                  <c:v>308.12483364386469</c:v>
                </c:pt>
                <c:pt idx="39">
                  <c:v>300.22419688376556</c:v>
                </c:pt>
                <c:pt idx="40">
                  <c:v>292.71859196167145</c:v>
                </c:pt>
                <c:pt idx="41">
                  <c:v>285.57911410894781</c:v>
                </c:pt>
                <c:pt idx="42">
                  <c:v>278.77961139206815</c:v>
                </c:pt>
                <c:pt idx="43">
                  <c:v>272.29636461550842</c:v>
                </c:pt>
                <c:pt idx="44">
                  <c:v>266.10781087424681</c:v>
                </c:pt>
                <c:pt idx="45">
                  <c:v>260.1943039659302</c:v>
                </c:pt>
                <c:pt idx="46">
                  <c:v>254.53790605362735</c:v>
                </c:pt>
                <c:pt idx="47">
                  <c:v>249.1222059248268</c:v>
                </c:pt>
                <c:pt idx="48">
                  <c:v>243.93215996805955</c:v>
                </c:pt>
                <c:pt idx="49">
                  <c:v>238.95395262177266</c:v>
                </c:pt>
                <c:pt idx="50">
                  <c:v>234.17487356933714</c:v>
                </c:pt>
                <c:pt idx="51">
                  <c:v>229.58320938170309</c:v>
                </c:pt>
                <c:pt idx="52">
                  <c:v>225.16814766282417</c:v>
                </c:pt>
                <c:pt idx="53">
                  <c:v>220.9196920465445</c:v>
                </c:pt>
                <c:pt idx="54">
                  <c:v>216.82858663827514</c:v>
                </c:pt>
                <c:pt idx="55">
                  <c:v>212.88624869939744</c:v>
                </c:pt>
                <c:pt idx="56">
                  <c:v>209.08470854405107</c:v>
                </c:pt>
                <c:pt idx="57">
                  <c:v>205.41655576257651</c:v>
                </c:pt>
                <c:pt idx="58">
                  <c:v>201.87489100804933</c:v>
                </c:pt>
                <c:pt idx="59">
                  <c:v>198.45328268587897</c:v>
                </c:pt>
                <c:pt idx="60">
                  <c:v>195.14572797444771</c:v>
                </c:pt>
                <c:pt idx="61">
                  <c:v>191.94661767978459</c:v>
                </c:pt>
                <c:pt idx="62">
                  <c:v>188.85070449140096</c:v>
                </c:pt>
                <c:pt idx="63">
                  <c:v>185.85307426137874</c:v>
                </c:pt>
                <c:pt idx="64">
                  <c:v>182.94911997604467</c:v>
                </c:pt>
                <c:pt idx="65">
                  <c:v>180.50859386086347</c:v>
                </c:pt>
                <c:pt idx="66">
                  <c:v>179.36190205797473</c:v>
                </c:pt>
                <c:pt idx="67">
                  <c:v>178.23039564328349</c:v>
                </c:pt>
                <c:pt idx="68">
                  <c:v>177.11377495581107</c:v>
                </c:pt>
                <c:pt idx="69">
                  <c:v>176.01174816753786</c:v>
                </c:pt>
                <c:pt idx="70">
                  <c:v>174.92403102912905</c:v>
                </c:pt>
                <c:pt idx="71">
                  <c:v>173.85034662550134</c:v>
                </c:pt>
                <c:pt idx="72">
                  <c:v>172.79042514078932</c:v>
                </c:pt>
                <c:pt idx="73">
                  <c:v>171.74400363229302</c:v>
                </c:pt>
                <c:pt idx="74">
                  <c:v>170.71082581300777</c:v>
                </c:pt>
                <c:pt idx="75">
                  <c:v>169.69064184235944</c:v>
                </c:pt>
                <c:pt idx="76">
                  <c:v>168.68320812478589</c:v>
                </c:pt>
                <c:pt idx="77">
                  <c:v>167.6882871158235</c:v>
                </c:pt>
                <c:pt idx="78">
                  <c:v>166.70564713537419</c:v>
                </c:pt>
                <c:pt idx="79">
                  <c:v>165.73506218784559</c:v>
                </c:pt>
                <c:pt idx="80">
                  <c:v>164.77631178886978</c:v>
                </c:pt>
                <c:pt idx="81">
                  <c:v>163.82918079832271</c:v>
                </c:pt>
                <c:pt idx="82">
                  <c:v>162.89345925937772</c:v>
                </c:pt>
                <c:pt idx="83">
                  <c:v>161.96894224334102</c:v>
                </c:pt>
                <c:pt idx="84">
                  <c:v>161.05542970002759</c:v>
                </c:pt>
                <c:pt idx="85">
                  <c:v>160.15272631344868</c:v>
                </c:pt>
                <c:pt idx="86">
                  <c:v>159.2606413625916</c:v>
                </c:pt>
                <c:pt idx="87">
                  <c:v>158.37898858708411</c:v>
                </c:pt>
                <c:pt idx="88">
                  <c:v>157.50758605754373</c:v>
                </c:pt>
                <c:pt idx="89">
                  <c:v>156.64625605042343</c:v>
                </c:pt>
                <c:pt idx="90">
                  <c:v>155.79482492717199</c:v>
                </c:pt>
                <c:pt idx="91">
                  <c:v>154.95312301753694</c:v>
                </c:pt>
                <c:pt idx="92">
                  <c:v>154.1209845068455</c:v>
                </c:pt>
                <c:pt idx="93">
                  <c:v>153.29824732710526</c:v>
                </c:pt>
                <c:pt idx="94">
                  <c:v>152.48475305177601</c:v>
                </c:pt>
                <c:pt idx="95">
                  <c:v>151.68034679406736</c:v>
                </c:pt>
                <c:pt idx="96">
                  <c:v>150.88487710862674</c:v>
                </c:pt>
                <c:pt idx="97">
                  <c:v>150.09819589648527</c:v>
                </c:pt>
                <c:pt idx="98">
                  <c:v>149.32015831313734</c:v>
                </c:pt>
                <c:pt idx="99">
                  <c:v>148.55062267963316</c:v>
                </c:pt>
                <c:pt idx="100">
                  <c:v>147.78945039657023</c:v>
                </c:pt>
              </c:numCache>
            </c:numRef>
          </c:val>
          <c:smooth val="0"/>
        </c:ser>
        <c:ser>
          <c:idx val="0"/>
          <c:order val="1"/>
          <c:tx>
            <c:v>VIN-nom</c:v>
          </c:tx>
          <c:spPr>
            <a:ln w="28575">
              <a:solidFill>
                <a:srgbClr val="0000FF"/>
              </a:solidFill>
              <a:prstDash val="lgDash"/>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Dual'!$AM$5:$AM$105</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345.02683574736409</c:v>
                </c:pt>
                <c:pt idx="53">
                  <c:v>338.51689545024414</c:v>
                </c:pt>
                <c:pt idx="54">
                  <c:v>332.24806405301734</c:v>
                </c:pt>
                <c:pt idx="55">
                  <c:v>326.20719016114424</c:v>
                </c:pt>
                <c:pt idx="56">
                  <c:v>320.38206176540962</c:v>
                </c:pt>
                <c:pt idx="57">
                  <c:v>314.76132383970071</c:v>
                </c:pt>
                <c:pt idx="58">
                  <c:v>309.33440446315421</c:v>
                </c:pt>
                <c:pt idx="59">
                  <c:v>304.09144845530398</c:v>
                </c:pt>
                <c:pt idx="60">
                  <c:v>299.0232576477157</c:v>
                </c:pt>
                <c:pt idx="61">
                  <c:v>294.12123703053999</c:v>
                </c:pt>
                <c:pt idx="62">
                  <c:v>289.37734611069254</c:v>
                </c:pt>
                <c:pt idx="63">
                  <c:v>284.78405490258638</c:v>
                </c:pt>
                <c:pt idx="64">
                  <c:v>280.33430404473341</c:v>
                </c:pt>
                <c:pt idx="65">
                  <c:v>276.02146859789133</c:v>
                </c:pt>
                <c:pt idx="66">
                  <c:v>271.83932513428698</c:v>
                </c:pt>
                <c:pt idx="67">
                  <c:v>267.78202177407371</c:v>
                </c:pt>
                <c:pt idx="68">
                  <c:v>263.84405086563146</c:v>
                </c:pt>
                <c:pt idx="69">
                  <c:v>260.02022404149187</c:v>
                </c:pt>
                <c:pt idx="70">
                  <c:v>256.30564941232774</c:v>
                </c:pt>
                <c:pt idx="71">
                  <c:v>252.69571068821045</c:v>
                </c:pt>
                <c:pt idx="72">
                  <c:v>249.18604803976308</c:v>
                </c:pt>
                <c:pt idx="73">
                  <c:v>245.77254053236905</c:v>
                </c:pt>
                <c:pt idx="74">
                  <c:v>242.45128998463434</c:v>
                </c:pt>
                <c:pt idx="75">
                  <c:v>239.21860611817246</c:v>
                </c:pt>
                <c:pt idx="76">
                  <c:v>236.0709928797755</c:v>
                </c:pt>
                <c:pt idx="77">
                  <c:v>233.00513582938882</c:v>
                </c:pt>
                <c:pt idx="78">
                  <c:v>230.01789049824279</c:v>
                </c:pt>
                <c:pt idx="79">
                  <c:v>227.10627163117641</c:v>
                </c:pt>
                <c:pt idx="80">
                  <c:v>224.26744323578671</c:v>
                </c:pt>
                <c:pt idx="81">
                  <c:v>222.60018362933715</c:v>
                </c:pt>
                <c:pt idx="82">
                  <c:v>221.19171485436158</c:v>
                </c:pt>
                <c:pt idx="83">
                  <c:v>219.80166081074259</c:v>
                </c:pt>
                <c:pt idx="84">
                  <c:v>218.42966270461915</c:v>
                </c:pt>
                <c:pt idx="85">
                  <c:v>217.07537100300166</c:v>
                </c:pt>
                <c:pt idx="86">
                  <c:v>215.73844513689639</c:v>
                </c:pt>
                <c:pt idx="87">
                  <c:v>214.41855321577634</c:v>
                </c:pt>
                <c:pt idx="88">
                  <c:v>213.11537175289791</c:v>
                </c:pt>
                <c:pt idx="89">
                  <c:v>211.82858540098408</c:v>
                </c:pt>
                <c:pt idx="90">
                  <c:v>210.55788669782177</c:v>
                </c:pt>
                <c:pt idx="91">
                  <c:v>209.30297582134105</c:v>
                </c:pt>
                <c:pt idx="92">
                  <c:v>208.06356035376777</c:v>
                </c:pt>
                <c:pt idx="93">
                  <c:v>206.83935505445868</c:v>
                </c:pt>
                <c:pt idx="94">
                  <c:v>205.63008164104917</c:v>
                </c:pt>
                <c:pt idx="95">
                  <c:v>204.43546857856026</c:v>
                </c:pt>
                <c:pt idx="96">
                  <c:v>203.25525087613002</c:v>
                </c:pt>
                <c:pt idx="97">
                  <c:v>202.08916989104893</c:v>
                </c:pt>
                <c:pt idx="98">
                  <c:v>200.9369731397951</c:v>
                </c:pt>
                <c:pt idx="99">
                  <c:v>199.79841411577982</c:v>
                </c:pt>
                <c:pt idx="100">
                  <c:v>198.67325211352602</c:v>
                </c:pt>
              </c:numCache>
            </c:numRef>
          </c:val>
          <c:smooth val="0"/>
        </c:ser>
        <c:ser>
          <c:idx val="2"/>
          <c:order val="2"/>
          <c:tx>
            <c:v>VIN-max</c:v>
          </c:tx>
          <c:spPr>
            <a:ln>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Dual'!$AM$218:$AM$318</c:f>
              <c:numCache>
                <c:formatCode>0.0</c:formatCode>
                <c:ptCount val="101"/>
                <c:pt idx="0">
                  <c:v>10</c:v>
                </c:pt>
                <c:pt idx="1">
                  <c:v>41.64187983343249</c:v>
                </c:pt>
                <c:pt idx="2">
                  <c:v>83.283759666864981</c:v>
                </c:pt>
                <c:pt idx="3">
                  <c:v>124.92563950029748</c:v>
                </c:pt>
                <c:pt idx="4">
                  <c:v>166.56751933372996</c:v>
                </c:pt>
                <c:pt idx="5">
                  <c:v>208.20939916716247</c:v>
                </c:pt>
                <c:pt idx="6">
                  <c:v>249.85127900059496</c:v>
                </c:pt>
                <c:pt idx="7">
                  <c:v>291.4931588340275</c:v>
                </c:pt>
                <c:pt idx="8">
                  <c:v>333.13503866745992</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pt idx="31">
                  <c:v>350</c:v>
                </c:pt>
                <c:pt idx="32">
                  <c:v>350</c:v>
                </c:pt>
                <c:pt idx="33">
                  <c:v>350</c:v>
                </c:pt>
                <c:pt idx="34">
                  <c:v>350</c:v>
                </c:pt>
                <c:pt idx="35">
                  <c:v>350</c:v>
                </c:pt>
                <c:pt idx="36">
                  <c:v>350</c:v>
                </c:pt>
                <c:pt idx="37">
                  <c:v>350</c:v>
                </c:pt>
                <c:pt idx="38">
                  <c:v>350</c:v>
                </c:pt>
                <c:pt idx="39">
                  <c:v>350</c:v>
                </c:pt>
                <c:pt idx="40">
                  <c:v>350</c:v>
                </c:pt>
                <c:pt idx="41">
                  <c:v>350</c:v>
                </c:pt>
                <c:pt idx="42">
                  <c:v>350</c:v>
                </c:pt>
                <c:pt idx="43">
                  <c:v>350</c:v>
                </c:pt>
                <c:pt idx="44">
                  <c:v>350</c:v>
                </c:pt>
                <c:pt idx="45">
                  <c:v>350</c:v>
                </c:pt>
                <c:pt idx="46">
                  <c:v>350</c:v>
                </c:pt>
                <c:pt idx="47">
                  <c:v>350</c:v>
                </c:pt>
                <c:pt idx="48">
                  <c:v>350</c:v>
                </c:pt>
                <c:pt idx="49">
                  <c:v>350</c:v>
                </c:pt>
                <c:pt idx="50">
                  <c:v>350</c:v>
                </c:pt>
                <c:pt idx="51">
                  <c:v>350</c:v>
                </c:pt>
                <c:pt idx="52">
                  <c:v>350</c:v>
                </c:pt>
                <c:pt idx="53">
                  <c:v>350</c:v>
                </c:pt>
                <c:pt idx="54">
                  <c:v>350</c:v>
                </c:pt>
                <c:pt idx="55">
                  <c:v>350</c:v>
                </c:pt>
                <c:pt idx="56">
                  <c:v>350</c:v>
                </c:pt>
                <c:pt idx="57">
                  <c:v>350</c:v>
                </c:pt>
                <c:pt idx="58">
                  <c:v>350</c:v>
                </c:pt>
                <c:pt idx="59">
                  <c:v>350</c:v>
                </c:pt>
                <c:pt idx="60">
                  <c:v>350</c:v>
                </c:pt>
                <c:pt idx="61">
                  <c:v>350</c:v>
                </c:pt>
                <c:pt idx="62">
                  <c:v>350</c:v>
                </c:pt>
                <c:pt idx="63">
                  <c:v>350</c:v>
                </c:pt>
                <c:pt idx="64">
                  <c:v>350</c:v>
                </c:pt>
                <c:pt idx="65">
                  <c:v>350</c:v>
                </c:pt>
                <c:pt idx="66">
                  <c:v>350</c:v>
                </c:pt>
                <c:pt idx="67">
                  <c:v>350</c:v>
                </c:pt>
                <c:pt idx="68">
                  <c:v>350</c:v>
                </c:pt>
                <c:pt idx="69">
                  <c:v>350</c:v>
                </c:pt>
                <c:pt idx="70">
                  <c:v>350</c:v>
                </c:pt>
                <c:pt idx="71">
                  <c:v>350</c:v>
                </c:pt>
                <c:pt idx="72">
                  <c:v>350</c:v>
                </c:pt>
                <c:pt idx="73">
                  <c:v>350</c:v>
                </c:pt>
                <c:pt idx="74">
                  <c:v>350</c:v>
                </c:pt>
                <c:pt idx="75">
                  <c:v>350</c:v>
                </c:pt>
                <c:pt idx="76">
                  <c:v>350</c:v>
                </c:pt>
                <c:pt idx="77">
                  <c:v>350</c:v>
                </c:pt>
                <c:pt idx="78">
                  <c:v>350</c:v>
                </c:pt>
                <c:pt idx="79">
                  <c:v>350</c:v>
                </c:pt>
                <c:pt idx="80">
                  <c:v>350</c:v>
                </c:pt>
                <c:pt idx="81">
                  <c:v>350</c:v>
                </c:pt>
                <c:pt idx="82">
                  <c:v>350</c:v>
                </c:pt>
                <c:pt idx="83">
                  <c:v>350</c:v>
                </c:pt>
                <c:pt idx="84">
                  <c:v>350</c:v>
                </c:pt>
                <c:pt idx="85">
                  <c:v>350</c:v>
                </c:pt>
                <c:pt idx="86">
                  <c:v>350</c:v>
                </c:pt>
                <c:pt idx="87">
                  <c:v>350</c:v>
                </c:pt>
                <c:pt idx="88">
                  <c:v>350</c:v>
                </c:pt>
                <c:pt idx="89">
                  <c:v>350</c:v>
                </c:pt>
                <c:pt idx="90">
                  <c:v>350</c:v>
                </c:pt>
                <c:pt idx="91">
                  <c:v>350</c:v>
                </c:pt>
                <c:pt idx="92">
                  <c:v>350</c:v>
                </c:pt>
                <c:pt idx="93">
                  <c:v>350</c:v>
                </c:pt>
                <c:pt idx="94">
                  <c:v>350</c:v>
                </c:pt>
                <c:pt idx="95">
                  <c:v>350</c:v>
                </c:pt>
                <c:pt idx="96">
                  <c:v>350</c:v>
                </c:pt>
                <c:pt idx="97">
                  <c:v>350</c:v>
                </c:pt>
                <c:pt idx="98">
                  <c:v>350</c:v>
                </c:pt>
                <c:pt idx="99">
                  <c:v>350</c:v>
                </c:pt>
                <c:pt idx="100">
                  <c:v>350</c:v>
                </c:pt>
              </c:numCache>
            </c:numRef>
          </c:val>
          <c:smooth val="0"/>
        </c:ser>
        <c:ser>
          <c:idx val="3"/>
          <c:order val="3"/>
          <c:spPr>
            <a:ln>
              <a:noFill/>
            </a:ln>
          </c:spPr>
          <c:marker>
            <c:symbol val="x"/>
            <c:size val="10"/>
            <c:spPr>
              <a:pattFill prst="pct5">
                <a:fgClr>
                  <a:schemeClr val="tx1"/>
                </a:fgClr>
                <a:bgClr>
                  <a:schemeClr val="bg1"/>
                </a:bgClr>
              </a:pattFill>
              <a:ln>
                <a:solidFill>
                  <a:srgbClr val="33CC33"/>
                </a:solidFill>
              </a:ln>
            </c:spPr>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Dual'!$CE$110:$CE$210</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180.50859386086347</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4"/>
          <c:order val="4"/>
          <c:spPr>
            <a:ln>
              <a:noFill/>
            </a:ln>
          </c:spPr>
          <c:marker>
            <c:symbol val="x"/>
            <c:size val="10"/>
            <c:spPr>
              <a:pattFill prst="pct5">
                <a:fgClr>
                  <a:schemeClr val="tx1"/>
                </a:fgClr>
                <a:bgClr>
                  <a:schemeClr val="bg1"/>
                </a:bgClr>
              </a:pattFill>
              <a:ln>
                <a:solidFill>
                  <a:srgbClr val="0000FF"/>
                </a:solidFill>
              </a:ln>
            </c:spPr>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Dual'!$CE$5:$CE$105</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ser>
          <c:idx val="5"/>
          <c:order val="5"/>
          <c:spPr>
            <a:ln>
              <a:noFill/>
            </a:ln>
          </c:spPr>
          <c:marker>
            <c:symbol val="x"/>
            <c:size val="10"/>
            <c:spPr>
              <a:pattFill prst="pct5">
                <a:fgClr>
                  <a:schemeClr val="tx1"/>
                </a:fgClr>
                <a:bgClr>
                  <a:schemeClr val="bg1"/>
                </a:bgClr>
              </a:pattFill>
              <a:ln>
                <a:solidFill>
                  <a:srgbClr val="FF0000"/>
                </a:solidFill>
              </a:ln>
            </c:spPr>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Dual'!$CE$218:$CE$318</c:f>
              <c:numCache>
                <c:formatCode>General</c:formatCode>
                <c:ptCount val="101"/>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numCache>
            </c:numRef>
          </c:val>
          <c:smooth val="0"/>
        </c:ser>
        <c:dLbls>
          <c:showLegendKey val="0"/>
          <c:showVal val="0"/>
          <c:showCatName val="0"/>
          <c:showSerName val="0"/>
          <c:showPercent val="0"/>
          <c:showBubbleSize val="0"/>
        </c:dLbls>
        <c:marker val="1"/>
        <c:smooth val="0"/>
        <c:axId val="141686656"/>
        <c:axId val="141381632"/>
      </c:lineChart>
      <c:lineChart>
        <c:grouping val="standard"/>
        <c:varyColors val="0"/>
        <c:ser>
          <c:idx val="6"/>
          <c:order val="6"/>
          <c:tx>
            <c:v>D1</c:v>
          </c:tx>
          <c:spPr>
            <a:ln w="25400">
              <a:solidFill>
                <a:srgbClr val="0000FF"/>
              </a:solidFill>
              <a:prstDash val="lgDash"/>
            </a:ln>
          </c:spPr>
          <c:marker>
            <c:symbol val="none"/>
          </c:marker>
          <c:val>
            <c:numRef>
              <c:f>'Calculations - Dual'!$AU$5:$AU$105</c:f>
              <c:numCache>
                <c:formatCode>0.000</c:formatCode>
                <c:ptCount val="101"/>
                <c:pt idx="0">
                  <c:v>4.2518518518518513E-3</c:v>
                </c:pt>
                <c:pt idx="1">
                  <c:v>1.7705510388437217E-2</c:v>
                </c:pt>
                <c:pt idx="2">
                  <c:v>3.5411020776874434E-2</c:v>
                </c:pt>
                <c:pt idx="3">
                  <c:v>5.3116531165311669E-2</c:v>
                </c:pt>
                <c:pt idx="4">
                  <c:v>7.0822041553748868E-2</c:v>
                </c:pt>
                <c:pt idx="5">
                  <c:v>8.8527551942186117E-2</c:v>
                </c:pt>
                <c:pt idx="6">
                  <c:v>0.11324413752179102</c:v>
                </c:pt>
                <c:pt idx="7">
                  <c:v>0.14270392322930481</c:v>
                </c:pt>
                <c:pt idx="8">
                  <c:v>0.17435075541960809</c:v>
                </c:pt>
                <c:pt idx="9">
                  <c:v>0.19428882661683899</c:v>
                </c:pt>
                <c:pt idx="10">
                  <c:v>0.20479840534358593</c:v>
                </c:pt>
                <c:pt idx="11">
                  <c:v>0.21479437961549014</c:v>
                </c:pt>
                <c:pt idx="12">
                  <c:v>0.22434541269553704</c:v>
                </c:pt>
                <c:pt idx="13">
                  <c:v>0.23350610887224868</c:v>
                </c:pt>
                <c:pt idx="14">
                  <c:v>0.24232074109284579</c:v>
                </c:pt>
                <c:pt idx="15">
                  <c:v>0.25082579661373267</c:v>
                </c:pt>
                <c:pt idx="16">
                  <c:v>0.25905176882245201</c:v>
                </c:pt>
                <c:pt idx="17">
                  <c:v>0.26702445133951441</c:v>
                </c:pt>
                <c:pt idx="18">
                  <c:v>0.27476589361908854</c:v>
                </c:pt>
                <c:pt idx="19">
                  <c:v>0.28229512036063226</c:v>
                </c:pt>
                <c:pt idx="20">
                  <c:v>0.2896286823892818</c:v>
                </c:pt>
                <c:pt idx="21">
                  <c:v>0.296781084885272</c:v>
                </c:pt>
                <c:pt idx="22">
                  <c:v>0.30376512477374124</c:v>
                </c:pt>
                <c:pt idx="23">
                  <c:v>0.3105921597721587</c:v>
                </c:pt>
                <c:pt idx="24">
                  <c:v>0.3172723252902177</c:v>
                </c:pt>
                <c:pt idx="25">
                  <c:v>0.32381471102806508</c:v>
                </c:pt>
                <c:pt idx="26">
                  <c:v>0.33022750606410251</c:v>
                </c:pt>
                <c:pt idx="27">
                  <c:v>0.33651811904330564</c:v>
                </c:pt>
                <c:pt idx="28">
                  <c:v>0.34269327849780185</c:v>
                </c:pt>
                <c:pt idx="29">
                  <c:v>0.34875911717215302</c:v>
                </c:pt>
                <c:pt idx="30">
                  <c:v>0.35472124336417621</c:v>
                </c:pt>
                <c:pt idx="31">
                  <c:v>0.36058480164443246</c:v>
                </c:pt>
                <c:pt idx="32">
                  <c:v>0.36635452482545139</c:v>
                </c:pt>
                <c:pt idx="33">
                  <c:v>0.37203477867426565</c:v>
                </c:pt>
                <c:pt idx="34">
                  <c:v>0.37762960056957584</c:v>
                </c:pt>
                <c:pt idx="35">
                  <c:v>0.38314273307667607</c:v>
                </c:pt>
                <c:pt idx="36">
                  <c:v>0.38857765323367799</c:v>
                </c:pt>
                <c:pt idx="37">
                  <c:v>0.39393759820017199</c:v>
                </c:pt>
                <c:pt idx="38">
                  <c:v>0.39922558780575135</c:v>
                </c:pt>
                <c:pt idx="39">
                  <c:v>0.4044444444444445</c:v>
                </c:pt>
                <c:pt idx="40">
                  <c:v>0.40959681068717185</c:v>
                </c:pt>
                <c:pt idx="41">
                  <c:v>0.41468516492422353</c:v>
                </c:pt>
                <c:pt idx="42">
                  <c:v>0.41971183530055228</c:v>
                </c:pt>
                <c:pt idx="43">
                  <c:v>0.42467901216623072</c:v>
                </c:pt>
                <c:pt idx="44">
                  <c:v>0.42958875923098028</c:v>
                </c:pt>
                <c:pt idx="45">
                  <c:v>0.43444302358392262</c:v>
                </c:pt>
                <c:pt idx="46">
                  <c:v>0.43924364471653798</c:v>
                </c:pt>
                <c:pt idx="47">
                  <c:v>0.44399236266741782</c:v>
                </c:pt>
                <c:pt idx="48">
                  <c:v>0.44869082539107408</c:v>
                </c:pt>
                <c:pt idx="49">
                  <c:v>0.45334059543929112</c:v>
                </c:pt>
                <c:pt idx="50">
                  <c:v>0.45794315603181424</c:v>
                </c:pt>
                <c:pt idx="51">
                  <c:v>0.46249991658324241</c:v>
                </c:pt>
                <c:pt idx="52">
                  <c:v>0.46037642212497976</c:v>
                </c:pt>
                <c:pt idx="53">
                  <c:v>0.4560125660823825</c:v>
                </c:pt>
                <c:pt idx="54">
                  <c:v>0.45177049652260287</c:v>
                </c:pt>
                <c:pt idx="55">
                  <c:v>0.44764465214207727</c:v>
                </c:pt>
                <c:pt idx="56">
                  <c:v>0.44362982079913116</c:v>
                </c:pt>
                <c:pt idx="57">
                  <c:v>0.43972111182508111</c:v>
                </c:pt>
                <c:pt idx="58">
                  <c:v>0.43591393097259945</c:v>
                </c:pt>
                <c:pt idx="59">
                  <c:v>0.43220395770952957</c:v>
                </c:pt>
                <c:pt idx="60">
                  <c:v>0.42858712460298126</c:v>
                </c:pt>
                <c:pt idx="61">
                  <c:v>0.42505959857002334</c:v>
                </c:pt>
                <c:pt idx="62">
                  <c:v>0.42161776379848692</c:v>
                </c:pt>
                <c:pt idx="63">
                  <c:v>0.41825820616485138</c:v>
                </c:pt>
                <c:pt idx="64">
                  <c:v>0.41497769899656722</c:v>
                </c:pt>
                <c:pt idx="65">
                  <c:v>0.41177319004383722</c:v>
                </c:pt>
                <c:pt idx="66">
                  <c:v>0.40864178954128172</c:v>
                </c:pt>
                <c:pt idx="67">
                  <c:v>0.40558075925334963</c:v>
                </c:pt>
                <c:pt idx="68">
                  <c:v>0.40258750240908669</c:v>
                </c:pt>
                <c:pt idx="69">
                  <c:v>0.39965955444217044</c:v>
                </c:pt>
                <c:pt idx="70">
                  <c:v>0.3967945744611629</c:v>
                </c:pt>
                <c:pt idx="71">
                  <c:v>0.39399033738289274</c:v>
                </c:pt>
                <c:pt idx="72">
                  <c:v>0.3912447266688836</c:v>
                </c:pt>
                <c:pt idx="73">
                  <c:v>0.38855572761095031</c:v>
                </c:pt>
                <c:pt idx="74">
                  <c:v>0.38592142111755467</c:v>
                </c:pt>
                <c:pt idx="75">
                  <c:v>0.38333997795737523</c:v>
                </c:pt>
                <c:pt idx="76">
                  <c:v>0.38080965342085815</c:v>
                </c:pt>
                <c:pt idx="77">
                  <c:v>0.37832878236434347</c:v>
                </c:pt>
                <c:pt idx="78">
                  <c:v>0.37589577460478552</c:v>
                </c:pt>
                <c:pt idx="79">
                  <c:v>0.37350911063612741</c:v>
                </c:pt>
                <c:pt idx="80">
                  <c:v>0.37116733764110832</c:v>
                </c:pt>
                <c:pt idx="81">
                  <c:v>0.37070338698888705</c:v>
                </c:pt>
                <c:pt idx="82">
                  <c:v>0.37062465647625359</c:v>
                </c:pt>
                <c:pt idx="83">
                  <c:v>0.37053440728653797</c:v>
                </c:pt>
                <c:pt idx="84">
                  <c:v>0.37043309867771945</c:v>
                </c:pt>
                <c:pt idx="85">
                  <c:v>0.37032117107005535</c:v>
                </c:pt>
                <c:pt idx="86">
                  <c:v>0.45864395373547595</c:v>
                </c:pt>
                <c:pt idx="87">
                  <c:v>0.45583796128094678</c:v>
                </c:pt>
                <c:pt idx="88">
                  <c:v>0.45306749402282737</c:v>
                </c:pt>
                <c:pt idx="89">
                  <c:v>0.45033188155616616</c:v>
                </c:pt>
                <c:pt idx="90">
                  <c:v>0.44763047023907293</c:v>
                </c:pt>
                <c:pt idx="91">
                  <c:v>0.44496262267203612</c:v>
                </c:pt>
                <c:pt idx="92">
                  <c:v>0.44232771719652852</c:v>
                </c:pt>
                <c:pt idx="93">
                  <c:v>0.43972514741207136</c:v>
                </c:pt>
                <c:pt idx="94">
                  <c:v>0.43715432171097118</c:v>
                </c:pt>
                <c:pt idx="95">
                  <c:v>0.43461466282997618</c:v>
                </c:pt>
                <c:pt idx="96">
                  <c:v>0.43210560741814302</c:v>
                </c:pt>
                <c:pt idx="97">
                  <c:v>0.42962660562022992</c:v>
                </c:pt>
                <c:pt idx="98">
                  <c:v>0.42717712067497171</c:v>
                </c:pt>
                <c:pt idx="99">
                  <c:v>0.42475662852762081</c:v>
                </c:pt>
                <c:pt idx="100">
                  <c:v>0.42236461745616266</c:v>
                </c:pt>
              </c:numCache>
            </c:numRef>
          </c:val>
          <c:smooth val="0"/>
        </c:ser>
        <c:ser>
          <c:idx val="7"/>
          <c:order val="7"/>
          <c:spPr>
            <a:ln w="25400">
              <a:solidFill>
                <a:srgbClr val="00B050"/>
              </a:solidFill>
              <a:prstDash val="dash"/>
            </a:ln>
          </c:spPr>
          <c:marker>
            <c:symbol val="none"/>
          </c:marker>
          <c:val>
            <c:numRef>
              <c:f>'Calculations - Dual'!$AU$110:$AU$210</c:f>
              <c:numCache>
                <c:formatCode>0.000</c:formatCode>
                <c:ptCount val="101"/>
                <c:pt idx="0">
                  <c:v>6.3777777777777765E-3</c:v>
                </c:pt>
                <c:pt idx="1">
                  <c:v>2.6558265582655827E-2</c:v>
                </c:pt>
                <c:pt idx="2">
                  <c:v>5.3116531165311655E-2</c:v>
                </c:pt>
                <c:pt idx="3">
                  <c:v>7.96747967479675E-2</c:v>
                </c:pt>
                <c:pt idx="4">
                  <c:v>0.10623306233062331</c:v>
                </c:pt>
                <c:pt idx="5">
                  <c:v>0.13279132791327916</c:v>
                </c:pt>
                <c:pt idx="6">
                  <c:v>0.16986620628268653</c:v>
                </c:pt>
                <c:pt idx="7">
                  <c:v>0.21405588484395724</c:v>
                </c:pt>
                <c:pt idx="8">
                  <c:v>0.26152613312941214</c:v>
                </c:pt>
                <c:pt idx="9">
                  <c:v>0.29143323992525855</c:v>
                </c:pt>
                <c:pt idx="10">
                  <c:v>0.30719760801537888</c:v>
                </c:pt>
                <c:pt idx="11">
                  <c:v>0.32219156942323524</c:v>
                </c:pt>
                <c:pt idx="12">
                  <c:v>0.33651811904330564</c:v>
                </c:pt>
                <c:pt idx="13">
                  <c:v>0.35025916330837309</c:v>
                </c:pt>
                <c:pt idx="14">
                  <c:v>0.36348111163926872</c:v>
                </c:pt>
                <c:pt idx="15">
                  <c:v>0.37623869492059903</c:v>
                </c:pt>
                <c:pt idx="16">
                  <c:v>0.3885776532336781</c:v>
                </c:pt>
                <c:pt idx="17">
                  <c:v>0.40053667700927165</c:v>
                </c:pt>
                <c:pt idx="18">
                  <c:v>0.41214884042863281</c:v>
                </c:pt>
                <c:pt idx="19">
                  <c:v>0.42344268054094847</c:v>
                </c:pt>
                <c:pt idx="20">
                  <c:v>0.43444302358392262</c:v>
                </c:pt>
                <c:pt idx="21">
                  <c:v>0.44517162732790794</c:v>
                </c:pt>
                <c:pt idx="22">
                  <c:v>0.45564768716061188</c:v>
                </c:pt>
                <c:pt idx="23">
                  <c:v>0.46588823965823806</c:v>
                </c:pt>
                <c:pt idx="24">
                  <c:v>0.47590848793532653</c:v>
                </c:pt>
                <c:pt idx="25">
                  <c:v>0.48572206654209765</c:v>
                </c:pt>
                <c:pt idx="26">
                  <c:v>0.49534125909615373</c:v>
                </c:pt>
                <c:pt idx="27">
                  <c:v>0.50477717856495852</c:v>
                </c:pt>
                <c:pt idx="28">
                  <c:v>0.51403991774670277</c:v>
                </c:pt>
                <c:pt idx="29">
                  <c:v>0.52313867575822948</c:v>
                </c:pt>
                <c:pt idx="30">
                  <c:v>0.53208186504626431</c:v>
                </c:pt>
                <c:pt idx="31">
                  <c:v>0.54087720246664872</c:v>
                </c:pt>
                <c:pt idx="32">
                  <c:v>0.54953178723817719</c:v>
                </c:pt>
                <c:pt idx="33">
                  <c:v>0.55805216801139845</c:v>
                </c:pt>
                <c:pt idx="34">
                  <c:v>0.55734052921903199</c:v>
                </c:pt>
                <c:pt idx="35">
                  <c:v>0.57647058823529407</c:v>
                </c:pt>
                <c:pt idx="36">
                  <c:v>0.57647058823529418</c:v>
                </c:pt>
                <c:pt idx="37">
                  <c:v>0.57647058823529407</c:v>
                </c:pt>
                <c:pt idx="38">
                  <c:v>0.57647058823529407</c:v>
                </c:pt>
                <c:pt idx="39">
                  <c:v>0.57647058823529407</c:v>
                </c:pt>
                <c:pt idx="40">
                  <c:v>0.57647058823529407</c:v>
                </c:pt>
                <c:pt idx="41">
                  <c:v>0.57647058823529407</c:v>
                </c:pt>
                <c:pt idx="42">
                  <c:v>0.57647058823529418</c:v>
                </c:pt>
                <c:pt idx="43">
                  <c:v>0.57647058823529418</c:v>
                </c:pt>
                <c:pt idx="44">
                  <c:v>0.57647058823529418</c:v>
                </c:pt>
                <c:pt idx="45">
                  <c:v>0.57647058823529418</c:v>
                </c:pt>
                <c:pt idx="46">
                  <c:v>0.57647058823529407</c:v>
                </c:pt>
                <c:pt idx="47">
                  <c:v>0.57647058823529407</c:v>
                </c:pt>
                <c:pt idx="48">
                  <c:v>0.57647058823529418</c:v>
                </c:pt>
                <c:pt idx="49">
                  <c:v>0.57647058823529418</c:v>
                </c:pt>
                <c:pt idx="50">
                  <c:v>0.57647058823529407</c:v>
                </c:pt>
                <c:pt idx="51">
                  <c:v>0.57647058823529407</c:v>
                </c:pt>
                <c:pt idx="52">
                  <c:v>0.57647058823529407</c:v>
                </c:pt>
                <c:pt idx="53">
                  <c:v>0.57647058823529418</c:v>
                </c:pt>
                <c:pt idx="54">
                  <c:v>0.57647058823529418</c:v>
                </c:pt>
                <c:pt idx="55">
                  <c:v>0.57647058823529429</c:v>
                </c:pt>
                <c:pt idx="56">
                  <c:v>0.57647058823529396</c:v>
                </c:pt>
                <c:pt idx="57">
                  <c:v>0.57647058823529407</c:v>
                </c:pt>
                <c:pt idx="58">
                  <c:v>0.57647058823529396</c:v>
                </c:pt>
                <c:pt idx="59">
                  <c:v>0.57647058823529418</c:v>
                </c:pt>
                <c:pt idx="60">
                  <c:v>0.57647058823529407</c:v>
                </c:pt>
                <c:pt idx="61">
                  <c:v>0.57647058823529407</c:v>
                </c:pt>
                <c:pt idx="62">
                  <c:v>0.57647058823529407</c:v>
                </c:pt>
                <c:pt idx="63">
                  <c:v>0.57647058823529407</c:v>
                </c:pt>
                <c:pt idx="64">
                  <c:v>0.57647058823529407</c:v>
                </c:pt>
                <c:pt idx="65">
                  <c:v>0.57562184931186455</c:v>
                </c:pt>
                <c:pt idx="66">
                  <c:v>0.57196517656265267</c:v>
                </c:pt>
                <c:pt idx="67">
                  <c:v>0.5683569283291372</c:v>
                </c:pt>
                <c:pt idx="68">
                  <c:v>0.56479614902575304</c:v>
                </c:pt>
                <c:pt idx="69">
                  <c:v>0.56128190804537059</c:v>
                </c:pt>
                <c:pt idx="70">
                  <c:v>0.55781329894844489</c:v>
                </c:pt>
                <c:pt idx="71">
                  <c:v>0.55438943868354318</c:v>
                </c:pt>
                <c:pt idx="72">
                  <c:v>0.55100946683785046</c:v>
                </c:pt>
                <c:pt idx="73">
                  <c:v>0.54767254491631212</c:v>
                </c:pt>
                <c:pt idx="74">
                  <c:v>0.544377855648147</c:v>
                </c:pt>
                <c:pt idx="75">
                  <c:v>0.54112460231952397</c:v>
                </c:pt>
                <c:pt idx="76">
                  <c:v>0.53791200813126161</c:v>
                </c:pt>
                <c:pt idx="77">
                  <c:v>0.5347393155804594</c:v>
                </c:pt>
                <c:pt idx="78">
                  <c:v>0.53160578586502649</c:v>
                </c:pt>
                <c:pt idx="79">
                  <c:v>0.52851069831012976</c:v>
                </c:pt>
                <c:pt idx="80">
                  <c:v>0.52545334981561809</c:v>
                </c:pt>
                <c:pt idx="81">
                  <c:v>0.52243305432354015</c:v>
                </c:pt>
                <c:pt idx="82">
                  <c:v>0.51944914230490447</c:v>
                </c:pt>
                <c:pt idx="83">
                  <c:v>0.51650096026487635</c:v>
                </c:pt>
                <c:pt idx="84">
                  <c:v>0.51358787026564345</c:v>
                </c:pt>
                <c:pt idx="85">
                  <c:v>0.51070924946621965</c:v>
                </c:pt>
                <c:pt idx="86">
                  <c:v>0.50786448967848652</c:v>
                </c:pt>
                <c:pt idx="87">
                  <c:v>0.50505299693881256</c:v>
                </c:pt>
                <c:pt idx="88">
                  <c:v>0.50227419109461169</c:v>
                </c:pt>
                <c:pt idx="89">
                  <c:v>0.49952750540523916</c:v>
                </c:pt>
                <c:pt idx="90">
                  <c:v>0.49681238615664836</c:v>
                </c:pt>
                <c:pt idx="91">
                  <c:v>0.49412829228925664</c:v>
                </c:pt>
                <c:pt idx="92">
                  <c:v>0.49147469503849617</c:v>
                </c:pt>
                <c:pt idx="93">
                  <c:v>0.4888510775875467</c:v>
                </c:pt>
                <c:pt idx="94">
                  <c:v>0.48625693473177461</c:v>
                </c:pt>
                <c:pt idx="95">
                  <c:v>0.48369177255441476</c:v>
                </c:pt>
                <c:pt idx="96">
                  <c:v>0.48115510811306522</c:v>
                </c:pt>
                <c:pt idx="97">
                  <c:v>0.47864646913656961</c:v>
                </c:pt>
                <c:pt idx="98">
                  <c:v>0.47616539373189348</c:v>
                </c:pt>
                <c:pt idx="99">
                  <c:v>0.47371143010060796</c:v>
                </c:pt>
                <c:pt idx="100">
                  <c:v>0.4712841362646184</c:v>
                </c:pt>
              </c:numCache>
            </c:numRef>
          </c:val>
          <c:smooth val="0"/>
        </c:ser>
        <c:ser>
          <c:idx val="8"/>
          <c:order val="8"/>
          <c:spPr>
            <a:ln w="25400">
              <a:solidFill>
                <a:srgbClr val="FF0000"/>
              </a:solidFill>
            </a:ln>
          </c:spPr>
          <c:marker>
            <c:symbol val="none"/>
          </c:marker>
          <c:val>
            <c:numRef>
              <c:f>'Calculations - Dual'!$AU$218:$AU$318</c:f>
              <c:numCache>
                <c:formatCode>0.000</c:formatCode>
                <c:ptCount val="101"/>
                <c:pt idx="0">
                  <c:v>1.3666666666666666E-3</c:v>
                </c:pt>
                <c:pt idx="1">
                  <c:v>5.691056910569107E-3</c:v>
                </c:pt>
                <c:pt idx="2">
                  <c:v>1.1382113821138214E-2</c:v>
                </c:pt>
                <c:pt idx="3">
                  <c:v>1.7073170731707325E-2</c:v>
                </c:pt>
                <c:pt idx="4">
                  <c:v>2.2764227642276428E-2</c:v>
                </c:pt>
                <c:pt idx="5">
                  <c:v>2.8455284552845541E-2</c:v>
                </c:pt>
                <c:pt idx="6">
                  <c:v>3.6399901346289967E-2</c:v>
                </c:pt>
                <c:pt idx="7">
                  <c:v>4.5869118180847983E-2</c:v>
                </c:pt>
                <c:pt idx="8">
                  <c:v>5.6041314242016901E-2</c:v>
                </c:pt>
                <c:pt idx="9">
                  <c:v>6.2449979983983973E-2</c:v>
                </c:pt>
                <c:pt idx="10">
                  <c:v>6.5828058860438313E-2</c:v>
                </c:pt>
                <c:pt idx="11">
                  <c:v>6.9041050590693265E-2</c:v>
                </c:pt>
                <c:pt idx="12">
                  <c:v>7.2111025509279766E-2</c:v>
                </c:pt>
                <c:pt idx="13">
                  <c:v>7.5055534994651368E-2</c:v>
                </c:pt>
                <c:pt idx="14">
                  <c:v>7.7888809636986148E-2</c:v>
                </c:pt>
                <c:pt idx="15">
                  <c:v>8.06225774829855E-2</c:v>
                </c:pt>
                <c:pt idx="16">
                  <c:v>8.3266639978645307E-2</c:v>
                </c:pt>
                <c:pt idx="17">
                  <c:v>8.5829287930558204E-2</c:v>
                </c:pt>
                <c:pt idx="18">
                  <c:v>8.8317608663278452E-2</c:v>
                </c:pt>
                <c:pt idx="19">
                  <c:v>9.0737717258774664E-2</c:v>
                </c:pt>
                <c:pt idx="20">
                  <c:v>9.3094933625126275E-2</c:v>
                </c:pt>
                <c:pt idx="21">
                  <c:v>9.5393920141694552E-2</c:v>
                </c:pt>
                <c:pt idx="22">
                  <c:v>9.7638790105845405E-2</c:v>
                </c:pt>
                <c:pt idx="23">
                  <c:v>9.983319421247959E-2</c:v>
                </c:pt>
                <c:pt idx="24">
                  <c:v>0.10198039027185568</c:v>
                </c:pt>
                <c:pt idx="25">
                  <c:v>0.10408329997330662</c:v>
                </c:pt>
                <c:pt idx="26">
                  <c:v>0.10614455552060439</c:v>
                </c:pt>
                <c:pt idx="27">
                  <c:v>0.10816653826391967</c:v>
                </c:pt>
                <c:pt idx="28">
                  <c:v>0.11015141094572203</c:v>
                </c:pt>
                <c:pt idx="29">
                  <c:v>0.11210114480533488</c:v>
                </c:pt>
                <c:pt idx="30">
                  <c:v>0.11401754250991379</c:v>
                </c:pt>
                <c:pt idx="31">
                  <c:v>0.11590225767142472</c:v>
                </c:pt>
                <c:pt idx="32">
                  <c:v>0.11775681155103798</c:v>
                </c:pt>
                <c:pt idx="33">
                  <c:v>0.11958260743101397</c:v>
                </c:pt>
                <c:pt idx="34">
                  <c:v>0.1213809430402208</c:v>
                </c:pt>
                <c:pt idx="35">
                  <c:v>0.12315302134607445</c:v>
                </c:pt>
                <c:pt idx="36">
                  <c:v>0.12489995996796795</c:v>
                </c:pt>
                <c:pt idx="37">
                  <c:v>0.12662279942148383</c:v>
                </c:pt>
                <c:pt idx="38">
                  <c:v>0.12832251036613437</c:v>
                </c:pt>
                <c:pt idx="39">
                  <c:v>0.12999999999999998</c:v>
                </c:pt>
                <c:pt idx="40">
                  <c:v>0.13165611772087663</c:v>
                </c:pt>
                <c:pt idx="41">
                  <c:v>0.1332916601542147</c:v>
                </c:pt>
                <c:pt idx="42">
                  <c:v>0.13490737563232039</c:v>
                </c:pt>
                <c:pt idx="43">
                  <c:v>0.13650396819628846</c:v>
                </c:pt>
                <c:pt idx="44">
                  <c:v>0.13808210118138653</c:v>
                </c:pt>
                <c:pt idx="45">
                  <c:v>0.13964240043768941</c:v>
                </c:pt>
                <c:pt idx="46">
                  <c:v>0.14118545723031578</c:v>
                </c:pt>
                <c:pt idx="47">
                  <c:v>0.14271183085738429</c:v>
                </c:pt>
                <c:pt idx="48">
                  <c:v>0.14422205101855953</c:v>
                </c:pt>
                <c:pt idx="49">
                  <c:v>0.14571661996262927</c:v>
                </c:pt>
                <c:pt idx="50">
                  <c:v>0.14719601443879746</c:v>
                </c:pt>
                <c:pt idx="51">
                  <c:v>0.14866068747318509</c:v>
                </c:pt>
                <c:pt idx="52">
                  <c:v>0.15011106998930274</c:v>
                </c:pt>
                <c:pt idx="53">
                  <c:v>0.15154757228892407</c:v>
                </c:pt>
                <c:pt idx="54">
                  <c:v>0.15297058540778352</c:v>
                </c:pt>
                <c:pt idx="55">
                  <c:v>0.15438048235879215</c:v>
                </c:pt>
                <c:pt idx="56">
                  <c:v>0.1557776192739723</c:v>
                </c:pt>
                <c:pt idx="57">
                  <c:v>0.15716233645501707</c:v>
                </c:pt>
                <c:pt idx="58">
                  <c:v>0.15853495934125483</c:v>
                </c:pt>
                <c:pt idx="59">
                  <c:v>0.15989579940281942</c:v>
                </c:pt>
                <c:pt idx="60">
                  <c:v>0.161245154965971</c:v>
                </c:pt>
                <c:pt idx="61">
                  <c:v>0.16258331197676262</c:v>
                </c:pt>
                <c:pt idx="62">
                  <c:v>0.16391054470858993</c:v>
                </c:pt>
                <c:pt idx="63">
                  <c:v>0.16522711641858301</c:v>
                </c:pt>
                <c:pt idx="64">
                  <c:v>0.16653327995729061</c:v>
                </c:pt>
                <c:pt idx="65">
                  <c:v>0.16782927833565472</c:v>
                </c:pt>
                <c:pt idx="66">
                  <c:v>0.16911534525287758</c:v>
                </c:pt>
                <c:pt idx="67">
                  <c:v>0.17039170558842745</c:v>
                </c:pt>
                <c:pt idx="68">
                  <c:v>0.17165857586111641</c:v>
                </c:pt>
                <c:pt idx="69">
                  <c:v>0.1729161646579058</c:v>
                </c:pt>
                <c:pt idx="70">
                  <c:v>0.1741646730348417</c:v>
                </c:pt>
                <c:pt idx="71">
                  <c:v>0.17540429489230491</c:v>
                </c:pt>
                <c:pt idx="72">
                  <c:v>0.1766352173265569</c:v>
                </c:pt>
                <c:pt idx="73">
                  <c:v>0.17785762095938798</c:v>
                </c:pt>
                <c:pt idx="74">
                  <c:v>0.17907168024751055</c:v>
                </c:pt>
                <c:pt idx="75">
                  <c:v>0.18027756377319945</c:v>
                </c:pt>
                <c:pt idx="76">
                  <c:v>0.18147543451754933</c:v>
                </c:pt>
                <c:pt idx="77">
                  <c:v>0.18266545011760346</c:v>
                </c:pt>
                <c:pt idx="78">
                  <c:v>0.18384776310850237</c:v>
                </c:pt>
                <c:pt idx="79">
                  <c:v>0.18502252115170556</c:v>
                </c:pt>
                <c:pt idx="80">
                  <c:v>0.18618986725025255</c:v>
                </c:pt>
                <c:pt idx="81">
                  <c:v>0.18734993995195195</c:v>
                </c:pt>
                <c:pt idx="82">
                  <c:v>0.1885028735413159</c:v>
                </c:pt>
                <c:pt idx="83">
                  <c:v>0.18964879822099234</c:v>
                </c:pt>
                <c:pt idx="84">
                  <c:v>0.1907878402833891</c:v>
                </c:pt>
                <c:pt idx="85">
                  <c:v>0.19192012227313041</c:v>
                </c:pt>
                <c:pt idx="86">
                  <c:v>0.19304576314093674</c:v>
                </c:pt>
                <c:pt idx="87">
                  <c:v>0.19416487838947596</c:v>
                </c:pt>
                <c:pt idx="88">
                  <c:v>0.19527758021169081</c:v>
                </c:pt>
                <c:pt idx="89">
                  <c:v>0.19638397762207249</c:v>
                </c:pt>
                <c:pt idx="90">
                  <c:v>0.19748417658131501</c:v>
                </c:pt>
                <c:pt idx="91">
                  <c:v>0.19857828011475306</c:v>
                </c:pt>
                <c:pt idx="92">
                  <c:v>0.19966638842495918</c:v>
                </c:pt>
                <c:pt idx="93">
                  <c:v>0.20074859899884728</c:v>
                </c:pt>
                <c:pt idx="94">
                  <c:v>0.20182500670960807</c:v>
                </c:pt>
                <c:pt idx="95">
                  <c:v>0.20289570391377598</c:v>
                </c:pt>
                <c:pt idx="96">
                  <c:v>0.20396078054371136</c:v>
                </c:pt>
                <c:pt idx="97">
                  <c:v>0.20502032419575708</c:v>
                </c:pt>
                <c:pt idx="98">
                  <c:v>0.20607442021431641</c:v>
                </c:pt>
                <c:pt idx="99">
                  <c:v>0.20712315177207979</c:v>
                </c:pt>
                <c:pt idx="100">
                  <c:v>0.20816659994661324</c:v>
                </c:pt>
              </c:numCache>
            </c:numRef>
          </c:val>
          <c:smooth val="0"/>
        </c:ser>
        <c:dLbls>
          <c:showLegendKey val="0"/>
          <c:showVal val="0"/>
          <c:showCatName val="0"/>
          <c:showSerName val="0"/>
          <c:showPercent val="0"/>
          <c:showBubbleSize val="0"/>
        </c:dLbls>
        <c:marker val="1"/>
        <c:smooth val="0"/>
        <c:axId val="141389824"/>
        <c:axId val="141383552"/>
      </c:lineChart>
      <c:catAx>
        <c:axId val="141686656"/>
        <c:scaling>
          <c:orientation val="minMax"/>
        </c:scaling>
        <c:delete val="0"/>
        <c:axPos val="b"/>
        <c:majorGridlines>
          <c:spPr>
            <a:ln w="15875">
              <a:solidFill>
                <a:srgbClr val="969696"/>
              </a:solidFill>
              <a:prstDash val="sysDash"/>
            </a:ln>
          </c:spPr>
        </c:majorGridlines>
        <c:title>
          <c:tx>
            <c:rich>
              <a:bodyPr/>
              <a:lstStyle/>
              <a:p>
                <a:pPr>
                  <a:defRPr sz="1100" b="1" i="0" u="none" strike="noStrike" baseline="0">
                    <a:solidFill>
                      <a:schemeClr val="tx1"/>
                    </a:solidFill>
                    <a:latin typeface="Arial" pitchFamily="34" charset="0"/>
                    <a:ea typeface="Calibri"/>
                    <a:cs typeface="Arial" pitchFamily="34" charset="0"/>
                  </a:defRPr>
                </a:pPr>
                <a:r>
                  <a:rPr lang="en-US" sz="1600" b="1" i="0" baseline="0">
                    <a:effectLst/>
                  </a:rPr>
                  <a:t>% Total Rated Output Power</a:t>
                </a:r>
                <a:endParaRPr lang="en-US" sz="1100">
                  <a:effectLst/>
                </a:endParaRPr>
              </a:p>
            </c:rich>
          </c:tx>
          <c:layout>
            <c:manualLayout>
              <c:xMode val="edge"/>
              <c:yMode val="edge"/>
              <c:x val="0.38070688614495507"/>
              <c:y val="0.93853774450069472"/>
            </c:manualLayout>
          </c:layout>
          <c:overlay val="0"/>
          <c:spPr>
            <a:noFill/>
            <a:ln w="25400">
              <a:noFill/>
            </a:ln>
          </c:spPr>
        </c:title>
        <c:numFmt formatCode="General" sourceLinked="1"/>
        <c:majorTickMark val="in"/>
        <c:minorTickMark val="in"/>
        <c:tickLblPos val="nextTo"/>
        <c:spPr>
          <a:ln w="3175">
            <a:solidFill>
              <a:schemeClr val="tx1"/>
            </a:solidFill>
            <a:prstDash val="solid"/>
          </a:ln>
        </c:spPr>
        <c:txPr>
          <a:bodyPr rot="0" vert="horz"/>
          <a:lstStyle/>
          <a:p>
            <a:pPr>
              <a:defRPr sz="1400" b="1" i="0" u="none" strike="noStrike" baseline="0">
                <a:solidFill>
                  <a:schemeClr val="tx1"/>
                </a:solidFill>
                <a:latin typeface="Arial" pitchFamily="34" charset="0"/>
                <a:ea typeface="Calibri"/>
                <a:cs typeface="Arial" pitchFamily="34" charset="0"/>
              </a:defRPr>
            </a:pPr>
            <a:endParaRPr lang="en-US"/>
          </a:p>
        </c:txPr>
        <c:crossAx val="141381632"/>
        <c:crosses val="autoZero"/>
        <c:auto val="1"/>
        <c:lblAlgn val="ctr"/>
        <c:lblOffset val="100"/>
        <c:tickLblSkip val="20"/>
        <c:tickMarkSkip val="10"/>
        <c:noMultiLvlLbl val="0"/>
      </c:catAx>
      <c:valAx>
        <c:axId val="141381632"/>
        <c:scaling>
          <c:orientation val="minMax"/>
          <c:max val="400"/>
          <c:min val="0"/>
        </c:scaling>
        <c:delete val="0"/>
        <c:axPos val="l"/>
        <c:majorGridlines>
          <c:spPr>
            <a:ln w="15875">
              <a:solidFill>
                <a:srgbClr val="808080"/>
              </a:solidFill>
              <a:prstDash val="solid"/>
            </a:ln>
          </c:spPr>
        </c:majorGridlines>
        <c:title>
          <c:tx>
            <c:rich>
              <a:bodyPr/>
              <a:lstStyle/>
              <a:p>
                <a:pPr>
                  <a:defRPr sz="1600" b="1" i="0" u="none" strike="noStrike" baseline="0">
                    <a:solidFill>
                      <a:schemeClr val="tx1"/>
                    </a:solidFill>
                    <a:latin typeface="Arial" pitchFamily="34" charset="0"/>
                    <a:ea typeface="Calibri"/>
                    <a:cs typeface="Arial" pitchFamily="34" charset="0"/>
                  </a:defRPr>
                </a:pPr>
                <a:r>
                  <a:rPr lang="en-US" sz="1600" b="1">
                    <a:solidFill>
                      <a:schemeClr val="tx1"/>
                    </a:solidFill>
                    <a:latin typeface="Arial" pitchFamily="34" charset="0"/>
                    <a:cs typeface="Arial" pitchFamily="34" charset="0"/>
                  </a:rPr>
                  <a:t>Switching</a:t>
                </a:r>
                <a:r>
                  <a:rPr lang="en-US" sz="1600" b="1" baseline="0">
                    <a:solidFill>
                      <a:schemeClr val="tx1"/>
                    </a:solidFill>
                    <a:latin typeface="Arial" pitchFamily="34" charset="0"/>
                    <a:cs typeface="Arial" pitchFamily="34" charset="0"/>
                  </a:rPr>
                  <a:t> Frquency (kHz)</a:t>
                </a:r>
                <a:endParaRPr lang="en-US" sz="1600" b="1">
                  <a:solidFill>
                    <a:schemeClr val="tx1"/>
                  </a:solidFill>
                  <a:latin typeface="Arial" pitchFamily="34" charset="0"/>
                  <a:cs typeface="Arial" pitchFamily="34" charset="0"/>
                </a:endParaRPr>
              </a:p>
            </c:rich>
          </c:tx>
          <c:layout>
            <c:manualLayout>
              <c:xMode val="edge"/>
              <c:yMode val="edge"/>
              <c:x val="8.5568128125503556E-3"/>
              <c:y val="0.22463146285493288"/>
            </c:manualLayout>
          </c:layout>
          <c:overlay val="0"/>
          <c:spPr>
            <a:noFill/>
            <a:ln w="25400">
              <a:noFill/>
            </a:ln>
          </c:spPr>
        </c:title>
        <c:numFmt formatCode="#,##0" sourceLinked="0"/>
        <c:majorTickMark val="in"/>
        <c:minorTickMark val="in"/>
        <c:tickLblPos val="nextTo"/>
        <c:spPr>
          <a:ln w="3175">
            <a:solidFill>
              <a:srgbClr val="000000"/>
            </a:solidFill>
            <a:prstDash val="solid"/>
          </a:ln>
        </c:spPr>
        <c:txPr>
          <a:bodyPr rot="0" vert="horz"/>
          <a:lstStyle/>
          <a:p>
            <a:pPr>
              <a:defRPr sz="1600" b="1" i="0" u="none" strike="noStrike" baseline="0">
                <a:solidFill>
                  <a:schemeClr val="tx1"/>
                </a:solidFill>
                <a:latin typeface="Arial" pitchFamily="34" charset="0"/>
                <a:ea typeface="Calibri"/>
                <a:cs typeface="Arial" pitchFamily="34" charset="0"/>
              </a:defRPr>
            </a:pPr>
            <a:endParaRPr lang="en-US"/>
          </a:p>
        </c:txPr>
        <c:crossAx val="141686656"/>
        <c:crossesAt val="0"/>
        <c:crossBetween val="between"/>
        <c:majorUnit val="50"/>
        <c:minorUnit val="25"/>
      </c:valAx>
      <c:valAx>
        <c:axId val="141383552"/>
        <c:scaling>
          <c:orientation val="minMax"/>
          <c:max val="0.60000000000000009"/>
        </c:scaling>
        <c:delete val="0"/>
        <c:axPos val="r"/>
        <c:title>
          <c:tx>
            <c:rich>
              <a:bodyPr rot="-5400000" vert="horz"/>
              <a:lstStyle/>
              <a:p>
                <a:pPr>
                  <a:defRPr sz="1600" b="1"/>
                </a:pPr>
                <a:r>
                  <a:rPr lang="en-US" sz="1600" b="1"/>
                  <a:t>Duty Cycle</a:t>
                </a:r>
              </a:p>
            </c:rich>
          </c:tx>
          <c:layout>
            <c:manualLayout>
              <c:xMode val="edge"/>
              <c:yMode val="edge"/>
              <c:x val="0.96331030941631779"/>
              <c:y val="0.35675917128406437"/>
            </c:manualLayout>
          </c:layout>
          <c:overlay val="0"/>
        </c:title>
        <c:numFmt formatCode="General" sourceLinked="0"/>
        <c:majorTickMark val="out"/>
        <c:minorTickMark val="none"/>
        <c:tickLblPos val="nextTo"/>
        <c:txPr>
          <a:bodyPr/>
          <a:lstStyle/>
          <a:p>
            <a:pPr>
              <a:defRPr sz="1400" b="1"/>
            </a:pPr>
            <a:endParaRPr lang="en-US"/>
          </a:p>
        </c:txPr>
        <c:crossAx val="141389824"/>
        <c:crosses val="max"/>
        <c:crossBetween val="between"/>
        <c:majorUnit val="0.1"/>
        <c:minorUnit val="5.000000000000001E-2"/>
      </c:valAx>
      <c:catAx>
        <c:axId val="141389824"/>
        <c:scaling>
          <c:orientation val="minMax"/>
        </c:scaling>
        <c:delete val="1"/>
        <c:axPos val="b"/>
        <c:majorTickMark val="out"/>
        <c:minorTickMark val="none"/>
        <c:tickLblPos val="nextTo"/>
        <c:crossAx val="141383552"/>
        <c:crosses val="autoZero"/>
        <c:auto val="1"/>
        <c:lblAlgn val="ctr"/>
        <c:lblOffset val="100"/>
        <c:noMultiLvlLbl val="0"/>
      </c:catAx>
      <c:spPr>
        <a:noFill/>
        <a:ln w="25400">
          <a:noFill/>
        </a:ln>
      </c:spPr>
    </c:plotArea>
    <c:legend>
      <c:legendPos val="t"/>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ayout>
        <c:manualLayout>
          <c:xMode val="edge"/>
          <c:yMode val="edge"/>
          <c:x val="0.31430722044239789"/>
          <c:y val="1.5175029628150039E-2"/>
          <c:w val="0.42410841724909248"/>
          <c:h val="5.433576684781775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Dual'!$AI$110:$AI$210</c:f>
              <c:numCache>
                <c:formatCode>0.000</c:formatCode>
                <c:ptCount val="101"/>
                <c:pt idx="0">
                  <c:v>0.82</c:v>
                </c:pt>
                <c:pt idx="1">
                  <c:v>0.82</c:v>
                </c:pt>
                <c:pt idx="2">
                  <c:v>0.82</c:v>
                </c:pt>
                <c:pt idx="3">
                  <c:v>0.82</c:v>
                </c:pt>
                <c:pt idx="4">
                  <c:v>0.82</c:v>
                </c:pt>
                <c:pt idx="5">
                  <c:v>0.82</c:v>
                </c:pt>
                <c:pt idx="6">
                  <c:v>0.8741176309016202</c:v>
                </c:pt>
                <c:pt idx="7">
                  <c:v>0.9441549509633318</c:v>
                </c:pt>
                <c:pt idx="8">
                  <c:v>1.0093440990088969</c:v>
                </c:pt>
                <c:pt idx="9">
                  <c:v>1.0705710854397252</c:v>
                </c:pt>
                <c:pt idx="10">
                  <c:v>1.1284810090360857</c:v>
                </c:pt>
                <c:pt idx="11">
                  <c:v>1.1835608672690274</c:v>
                </c:pt>
                <c:pt idx="12">
                  <c:v>1.2361890087305105</c:v>
                </c:pt>
                <c:pt idx="13">
                  <c:v>1.2866663141940233</c:v>
                </c:pt>
                <c:pt idx="14">
                  <c:v>1.3352367366340483</c:v>
                </c:pt>
                <c:pt idx="15">
                  <c:v>1.3821013282797514</c:v>
                </c:pt>
                <c:pt idx="16">
                  <c:v>1.4274281139196339</c:v>
                </c:pt>
                <c:pt idx="17">
                  <c:v>1.4713592216667122</c:v>
                </c:pt>
                <c:pt idx="18">
                  <c:v>1.514016148513345</c:v>
                </c:pt>
                <c:pt idx="19">
                  <c:v>1.5555037244361372</c:v>
                </c:pt>
                <c:pt idx="20">
                  <c:v>1.5959131478593076</c:v>
                </c:pt>
                <c:pt idx="21">
                  <c:v>1.6353243452861925</c:v>
                </c:pt>
                <c:pt idx="22">
                  <c:v>1.6738078303859212</c:v>
                </c:pt>
                <c:pt idx="23">
                  <c:v>1.7114261864996501</c:v>
                </c:pt>
                <c:pt idx="24">
                  <c:v>1.7482352618032404</c:v>
                </c:pt>
                <c:pt idx="25">
                  <c:v>1.7842851423995423</c:v>
                </c:pt>
                <c:pt idx="26">
                  <c:v>1.8196209517817896</c:v>
                </c:pt>
                <c:pt idx="27">
                  <c:v>1.854283513095766</c:v>
                </c:pt>
                <c:pt idx="28">
                  <c:v>1.8883099019266636</c:v>
                </c:pt>
                <c:pt idx="29">
                  <c:v>1.9217339109485982</c:v>
                </c:pt>
                <c:pt idx="30">
                  <c:v>1.9545864430270936</c:v>
                </c:pt>
                <c:pt idx="31">
                  <c:v>1.9868958457958525</c:v>
                </c:pt>
                <c:pt idx="32">
                  <c:v>2.0186881980177938</c:v>
                </c:pt>
                <c:pt idx="33">
                  <c:v>2.0499875559602394</c:v>
                </c:pt>
                <c:pt idx="34">
                  <c:v>2.0808161664037854</c:v>
                </c:pt>
                <c:pt idx="35">
                  <c:v>2.2155388471177946</c:v>
                </c:pt>
                <c:pt idx="36">
                  <c:v>2.2788399570354461</c:v>
                </c:pt>
                <c:pt idx="37">
                  <c:v>2.3421410669530971</c:v>
                </c:pt>
                <c:pt idx="38">
                  <c:v>2.405442176870749</c:v>
                </c:pt>
                <c:pt idx="39">
                  <c:v>2.4687432867884005</c:v>
                </c:pt>
                <c:pt idx="40">
                  <c:v>2.532044396706052</c:v>
                </c:pt>
                <c:pt idx="41">
                  <c:v>2.5953455066237026</c:v>
                </c:pt>
                <c:pt idx="42">
                  <c:v>2.6586466165413536</c:v>
                </c:pt>
                <c:pt idx="43">
                  <c:v>2.7219477264590051</c:v>
                </c:pt>
                <c:pt idx="44">
                  <c:v>2.785248836376657</c:v>
                </c:pt>
                <c:pt idx="45">
                  <c:v>2.848549946294308</c:v>
                </c:pt>
                <c:pt idx="46">
                  <c:v>2.9118510562119591</c:v>
                </c:pt>
                <c:pt idx="47">
                  <c:v>2.9751521661296105</c:v>
                </c:pt>
                <c:pt idx="48">
                  <c:v>3.038453276047262</c:v>
                </c:pt>
                <c:pt idx="49">
                  <c:v>3.101754385964913</c:v>
                </c:pt>
                <c:pt idx="50">
                  <c:v>3.1650554958825645</c:v>
                </c:pt>
                <c:pt idx="51">
                  <c:v>3.228356605800216</c:v>
                </c:pt>
                <c:pt idx="52">
                  <c:v>3.2916577157178675</c:v>
                </c:pt>
                <c:pt idx="53">
                  <c:v>3.3549588256355185</c:v>
                </c:pt>
                <c:pt idx="54">
                  <c:v>3.41825993555317</c:v>
                </c:pt>
                <c:pt idx="55">
                  <c:v>3.4815610454708215</c:v>
                </c:pt>
                <c:pt idx="56">
                  <c:v>3.544862155388472</c:v>
                </c:pt>
                <c:pt idx="57">
                  <c:v>3.6081632653061231</c:v>
                </c:pt>
                <c:pt idx="58">
                  <c:v>3.6714643752237737</c:v>
                </c:pt>
                <c:pt idx="59">
                  <c:v>3.734765485141426</c:v>
                </c:pt>
                <c:pt idx="60">
                  <c:v>3.7980665950590766</c:v>
                </c:pt>
                <c:pt idx="61">
                  <c:v>3.8613677049767281</c:v>
                </c:pt>
                <c:pt idx="62">
                  <c:v>3.92466881489438</c:v>
                </c:pt>
                <c:pt idx="63">
                  <c:v>3.9879699248120306</c:v>
                </c:pt>
                <c:pt idx="64">
                  <c:v>4.0512710347296821</c:v>
                </c:pt>
                <c:pt idx="65">
                  <c:v>4.0999999999999996</c:v>
                </c:pt>
                <c:pt idx="66">
                  <c:v>4.0999999999999996</c:v>
                </c:pt>
                <c:pt idx="67">
                  <c:v>4.0999999999999996</c:v>
                </c:pt>
                <c:pt idx="68">
                  <c:v>4.0999999999999996</c:v>
                </c:pt>
                <c:pt idx="69">
                  <c:v>4.0999999999999996</c:v>
                </c:pt>
                <c:pt idx="70">
                  <c:v>4.0999999999999996</c:v>
                </c:pt>
                <c:pt idx="71">
                  <c:v>4.0999999999999996</c:v>
                </c:pt>
                <c:pt idx="72">
                  <c:v>4.0999999999999996</c:v>
                </c:pt>
                <c:pt idx="73">
                  <c:v>4.0999999999999996</c:v>
                </c:pt>
                <c:pt idx="74">
                  <c:v>4.0999999999999996</c:v>
                </c:pt>
                <c:pt idx="75">
                  <c:v>4.0999999999999996</c:v>
                </c:pt>
                <c:pt idx="76">
                  <c:v>4.0999999999999996</c:v>
                </c:pt>
                <c:pt idx="77">
                  <c:v>4.0999999999999996</c:v>
                </c:pt>
                <c:pt idx="78">
                  <c:v>4.0999999999999996</c:v>
                </c:pt>
                <c:pt idx="79">
                  <c:v>4.0999999999999996</c:v>
                </c:pt>
                <c:pt idx="80">
                  <c:v>4.0999999999999996</c:v>
                </c:pt>
                <c:pt idx="81">
                  <c:v>4.0999999999999996</c:v>
                </c:pt>
                <c:pt idx="82">
                  <c:v>4.0999999999999996</c:v>
                </c:pt>
                <c:pt idx="83">
                  <c:v>4.0999999999999996</c:v>
                </c:pt>
                <c:pt idx="84">
                  <c:v>4.0999999999999996</c:v>
                </c:pt>
                <c:pt idx="85">
                  <c:v>4.0999999999999996</c:v>
                </c:pt>
                <c:pt idx="86">
                  <c:v>4.0999999999999996</c:v>
                </c:pt>
                <c:pt idx="87">
                  <c:v>4.0999999999999996</c:v>
                </c:pt>
                <c:pt idx="88">
                  <c:v>4.0999999999999996</c:v>
                </c:pt>
                <c:pt idx="89">
                  <c:v>4.0999999999999996</c:v>
                </c:pt>
                <c:pt idx="90">
                  <c:v>4.0999999999999996</c:v>
                </c:pt>
                <c:pt idx="91">
                  <c:v>4.0999999999999996</c:v>
                </c:pt>
                <c:pt idx="92">
                  <c:v>4.0999999999999996</c:v>
                </c:pt>
                <c:pt idx="93">
                  <c:v>4.0999999999999996</c:v>
                </c:pt>
                <c:pt idx="94">
                  <c:v>4.0999999999999996</c:v>
                </c:pt>
                <c:pt idx="95">
                  <c:v>4.0999999999999996</c:v>
                </c:pt>
                <c:pt idx="96">
                  <c:v>4.0999999999999996</c:v>
                </c:pt>
                <c:pt idx="97">
                  <c:v>4.0999999999999996</c:v>
                </c:pt>
                <c:pt idx="98">
                  <c:v>4.0999999999999996</c:v>
                </c:pt>
                <c:pt idx="99">
                  <c:v>4.0999999999999996</c:v>
                </c:pt>
                <c:pt idx="100">
                  <c:v>4.0999999999999996</c:v>
                </c:pt>
              </c:numCache>
            </c:numRef>
          </c:val>
          <c:smooth val="0"/>
        </c:ser>
        <c:ser>
          <c:idx val="0"/>
          <c:order val="1"/>
          <c:tx>
            <c:v>VIN-nom</c:v>
          </c:tx>
          <c:spPr>
            <a:ln w="28575">
              <a:solidFill>
                <a:srgbClr val="0000FF"/>
              </a:solidFill>
              <a:prstDash val="lgDash"/>
            </a:ln>
          </c:spPr>
          <c:marker>
            <c:symbol val="none"/>
          </c:marker>
          <c:cat>
            <c:numRef>
              <c:f>'Calculations - Dual'!$AL$5:$AL$105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Dual'!$AI$5:$AI$105</c:f>
              <c:numCache>
                <c:formatCode>0.000</c:formatCode>
                <c:ptCount val="101"/>
                <c:pt idx="0">
                  <c:v>0.82</c:v>
                </c:pt>
                <c:pt idx="1">
                  <c:v>0.82</c:v>
                </c:pt>
                <c:pt idx="2">
                  <c:v>0.82</c:v>
                </c:pt>
                <c:pt idx="3">
                  <c:v>0.82</c:v>
                </c:pt>
                <c:pt idx="4">
                  <c:v>0.82</c:v>
                </c:pt>
                <c:pt idx="5">
                  <c:v>0.82</c:v>
                </c:pt>
                <c:pt idx="6">
                  <c:v>0.8741176309016202</c:v>
                </c:pt>
                <c:pt idx="7">
                  <c:v>0.9441549509633318</c:v>
                </c:pt>
                <c:pt idx="8">
                  <c:v>1.0093440990088969</c:v>
                </c:pt>
                <c:pt idx="9">
                  <c:v>1.0705710854397252</c:v>
                </c:pt>
                <c:pt idx="10">
                  <c:v>1.1284810090360857</c:v>
                </c:pt>
                <c:pt idx="11">
                  <c:v>1.1835608672690274</c:v>
                </c:pt>
                <c:pt idx="12">
                  <c:v>1.2361890087305105</c:v>
                </c:pt>
                <c:pt idx="13">
                  <c:v>1.2866663141940233</c:v>
                </c:pt>
                <c:pt idx="14">
                  <c:v>1.3352367366340483</c:v>
                </c:pt>
                <c:pt idx="15">
                  <c:v>1.3821013282797514</c:v>
                </c:pt>
                <c:pt idx="16">
                  <c:v>1.4274281139196339</c:v>
                </c:pt>
                <c:pt idx="17">
                  <c:v>1.4713592216667122</c:v>
                </c:pt>
                <c:pt idx="18">
                  <c:v>1.514016148513345</c:v>
                </c:pt>
                <c:pt idx="19">
                  <c:v>1.5555037244361372</c:v>
                </c:pt>
                <c:pt idx="20">
                  <c:v>1.5959131478593076</c:v>
                </c:pt>
                <c:pt idx="21">
                  <c:v>1.6353243452861925</c:v>
                </c:pt>
                <c:pt idx="22">
                  <c:v>1.6738078303859212</c:v>
                </c:pt>
                <c:pt idx="23">
                  <c:v>1.7114261864996501</c:v>
                </c:pt>
                <c:pt idx="24">
                  <c:v>1.7482352618032404</c:v>
                </c:pt>
                <c:pt idx="25">
                  <c:v>1.7842851423995423</c:v>
                </c:pt>
                <c:pt idx="26">
                  <c:v>1.8196209517817896</c:v>
                </c:pt>
                <c:pt idx="27">
                  <c:v>1.854283513095766</c:v>
                </c:pt>
                <c:pt idx="28">
                  <c:v>1.8883099019266636</c:v>
                </c:pt>
                <c:pt idx="29">
                  <c:v>1.9217339109485982</c:v>
                </c:pt>
                <c:pt idx="30">
                  <c:v>1.9545864430270936</c:v>
                </c:pt>
                <c:pt idx="31">
                  <c:v>1.9868958457958525</c:v>
                </c:pt>
                <c:pt idx="32">
                  <c:v>2.0186881980177938</c:v>
                </c:pt>
                <c:pt idx="33">
                  <c:v>2.0499875559602394</c:v>
                </c:pt>
                <c:pt idx="34">
                  <c:v>2.0808161664037854</c:v>
                </c:pt>
                <c:pt idx="35">
                  <c:v>2.1111946516469904</c:v>
                </c:pt>
                <c:pt idx="36">
                  <c:v>2.1411421708794505</c:v>
                </c:pt>
                <c:pt idx="37">
                  <c:v>2.1706765615111516</c:v>
                </c:pt>
                <c:pt idx="38">
                  <c:v>2.1998144634194468</c:v>
                </c:pt>
                <c:pt idx="39">
                  <c:v>2.2285714285714286</c:v>
                </c:pt>
                <c:pt idx="40">
                  <c:v>2.2569620180721714</c:v>
                </c:pt>
                <c:pt idx="41">
                  <c:v>2.2849998883579663</c:v>
                </c:pt>
                <c:pt idx="42">
                  <c:v>2.3126978679826355</c:v>
                </c:pt>
                <c:pt idx="43">
                  <c:v>2.3400680262220881</c:v>
                </c:pt>
                <c:pt idx="44">
                  <c:v>2.3671217345380549</c:v>
                </c:pt>
                <c:pt idx="45">
                  <c:v>2.3938697217889615</c:v>
                </c:pt>
                <c:pt idx="46">
                  <c:v>2.4203221239482708</c:v>
                </c:pt>
                <c:pt idx="47">
                  <c:v>2.446488528983731</c:v>
                </c:pt>
                <c:pt idx="48">
                  <c:v>2.472378017461021</c:v>
                </c:pt>
                <c:pt idx="49">
                  <c:v>2.4979991993593593</c:v>
                </c:pt>
                <c:pt idx="50">
                  <c:v>2.5233602475222421</c:v>
                </c:pt>
                <c:pt idx="51">
                  <c:v>2.5484689281117441</c:v>
                </c:pt>
                <c:pt idx="52">
                  <c:v>2.5733326283880467</c:v>
                </c:pt>
                <c:pt idx="53">
                  <c:v>2.5979583820958414</c:v>
                </c:pt>
                <c:pt idx="54">
                  <c:v>2.6223528927048609</c:v>
                </c:pt>
                <c:pt idx="55">
                  <c:v>2.6465225547221514</c:v>
                </c:pt>
                <c:pt idx="56">
                  <c:v>2.6704734732680966</c:v>
                </c:pt>
                <c:pt idx="57">
                  <c:v>2.6942114820860072</c:v>
                </c:pt>
                <c:pt idx="58">
                  <c:v>2.7177421601357974</c:v>
                </c:pt>
                <c:pt idx="59">
                  <c:v>2.7410708469054756</c:v>
                </c:pt>
                <c:pt idx="60">
                  <c:v>2.7642026565595028</c:v>
                </c:pt>
                <c:pt idx="61">
                  <c:v>2.7871424910302167</c:v>
                </c:pt>
                <c:pt idx="62">
                  <c:v>2.8098950521472563</c:v>
                </c:pt>
                <c:pt idx="63">
                  <c:v>2.8324648528899949</c:v>
                </c:pt>
                <c:pt idx="64">
                  <c:v>2.8548562278392677</c:v>
                </c:pt>
                <c:pt idx="65">
                  <c:v>2.8770733428969382</c:v>
                </c:pt>
                <c:pt idx="66">
                  <c:v>2.8991202043350448</c:v>
                </c:pt>
                <c:pt idx="67">
                  <c:v>2.9210006672301847</c:v>
                </c:pt>
                <c:pt idx="68">
                  <c:v>2.9427184433334244</c:v>
                </c:pt>
                <c:pt idx="69">
                  <c:v>2.9642771084212427</c:v>
                </c:pt>
                <c:pt idx="70">
                  <c:v>2.9856801091687153</c:v>
                </c:pt>
                <c:pt idx="71">
                  <c:v>3.0069307695823699</c:v>
                </c:pt>
                <c:pt idx="72">
                  <c:v>3.02803229702669</c:v>
                </c:pt>
                <c:pt idx="73">
                  <c:v>3.0489877878752223</c:v>
                </c:pt>
                <c:pt idx="74">
                  <c:v>3.0698002328144667</c:v>
                </c:pt>
                <c:pt idx="75">
                  <c:v>3.0904725218262765</c:v>
                </c:pt>
                <c:pt idx="76">
                  <c:v>3.1110074488722743</c:v>
                </c:pt>
                <c:pt idx="77">
                  <c:v>3.1314077163017733</c:v>
                </c:pt>
                <c:pt idx="78">
                  <c:v>3.1516759390028977</c:v>
                </c:pt>
                <c:pt idx="79">
                  <c:v>3.1718146483149527</c:v>
                </c:pt>
                <c:pt idx="80">
                  <c:v>3.1918262957186152</c:v>
                </c:pt>
                <c:pt idx="81">
                  <c:v>3.2117132563191766</c:v>
                </c:pt>
                <c:pt idx="82">
                  <c:v>3.2314778321368438</c:v>
                </c:pt>
                <c:pt idx="83">
                  <c:v>3.2511222552170111</c:v>
                </c:pt>
                <c:pt idx="84">
                  <c:v>3.2706486905723851</c:v>
                </c:pt>
                <c:pt idx="85">
                  <c:v>3.2900592389679497</c:v>
                </c:pt>
                <c:pt idx="86">
                  <c:v>4.0999999999999996</c:v>
                </c:pt>
                <c:pt idx="87">
                  <c:v>4.0999999999999996</c:v>
                </c:pt>
                <c:pt idx="88">
                  <c:v>4.0999999999999996</c:v>
                </c:pt>
                <c:pt idx="89">
                  <c:v>4.0999999999999996</c:v>
                </c:pt>
                <c:pt idx="90">
                  <c:v>4.0999999999999996</c:v>
                </c:pt>
                <c:pt idx="91">
                  <c:v>4.0999999999999996</c:v>
                </c:pt>
                <c:pt idx="92">
                  <c:v>4.0999999999999996</c:v>
                </c:pt>
                <c:pt idx="93">
                  <c:v>4.0999999999999996</c:v>
                </c:pt>
                <c:pt idx="94">
                  <c:v>4.0999999999999996</c:v>
                </c:pt>
                <c:pt idx="95">
                  <c:v>4.0999999999999996</c:v>
                </c:pt>
                <c:pt idx="96">
                  <c:v>4.0999999999999996</c:v>
                </c:pt>
                <c:pt idx="97">
                  <c:v>4.0999999999999996</c:v>
                </c:pt>
                <c:pt idx="98">
                  <c:v>4.0999999999999996</c:v>
                </c:pt>
                <c:pt idx="99">
                  <c:v>4.0999999999999996</c:v>
                </c:pt>
                <c:pt idx="100">
                  <c:v>4.0999999999999996</c:v>
                </c:pt>
              </c:numCache>
            </c:numRef>
          </c:val>
          <c:smooth val="0"/>
        </c:ser>
        <c:ser>
          <c:idx val="2"/>
          <c:order val="2"/>
          <c:tx>
            <c:v>VIN-max</c:v>
          </c:tx>
          <c:spPr>
            <a:ln>
              <a:solidFill>
                <a:srgbClr val="FF0000"/>
              </a:solidFill>
              <a:prstDash val="solid"/>
            </a:ln>
          </c:spPr>
          <c:marker>
            <c:symbol val="none"/>
          </c:marker>
          <c:val>
            <c:numRef>
              <c:f>'Calculations - Dual'!$AI$218:$AI$318</c:f>
              <c:numCache>
                <c:formatCode>0.000</c:formatCode>
                <c:ptCount val="101"/>
                <c:pt idx="0">
                  <c:v>0.82</c:v>
                </c:pt>
                <c:pt idx="1">
                  <c:v>0.82</c:v>
                </c:pt>
                <c:pt idx="2">
                  <c:v>0.82</c:v>
                </c:pt>
                <c:pt idx="3">
                  <c:v>0.82</c:v>
                </c:pt>
                <c:pt idx="4">
                  <c:v>0.82</c:v>
                </c:pt>
                <c:pt idx="5">
                  <c:v>0.82</c:v>
                </c:pt>
                <c:pt idx="6">
                  <c:v>0.8741176309016202</c:v>
                </c:pt>
                <c:pt idx="7">
                  <c:v>0.9441549509633318</c:v>
                </c:pt>
                <c:pt idx="8">
                  <c:v>1.0093440990088969</c:v>
                </c:pt>
                <c:pt idx="9">
                  <c:v>1.0705710854397252</c:v>
                </c:pt>
                <c:pt idx="10">
                  <c:v>1.1284810090360857</c:v>
                </c:pt>
                <c:pt idx="11">
                  <c:v>1.1835608672690274</c:v>
                </c:pt>
                <c:pt idx="12">
                  <c:v>1.2361890087305105</c:v>
                </c:pt>
                <c:pt idx="13">
                  <c:v>1.2866663141940233</c:v>
                </c:pt>
                <c:pt idx="14">
                  <c:v>1.3352367366340483</c:v>
                </c:pt>
                <c:pt idx="15">
                  <c:v>1.3821013282797514</c:v>
                </c:pt>
                <c:pt idx="16">
                  <c:v>1.4274281139196339</c:v>
                </c:pt>
                <c:pt idx="17">
                  <c:v>1.4713592216667122</c:v>
                </c:pt>
                <c:pt idx="18">
                  <c:v>1.514016148513345</c:v>
                </c:pt>
                <c:pt idx="19">
                  <c:v>1.5555037244361372</c:v>
                </c:pt>
                <c:pt idx="20">
                  <c:v>1.5959131478593076</c:v>
                </c:pt>
                <c:pt idx="21">
                  <c:v>1.6353243452861925</c:v>
                </c:pt>
                <c:pt idx="22">
                  <c:v>1.6738078303859212</c:v>
                </c:pt>
                <c:pt idx="23">
                  <c:v>1.7114261864996501</c:v>
                </c:pt>
                <c:pt idx="24">
                  <c:v>1.7482352618032404</c:v>
                </c:pt>
                <c:pt idx="25">
                  <c:v>1.7842851423995423</c:v>
                </c:pt>
                <c:pt idx="26">
                  <c:v>1.8196209517817896</c:v>
                </c:pt>
                <c:pt idx="27">
                  <c:v>1.854283513095766</c:v>
                </c:pt>
                <c:pt idx="28">
                  <c:v>1.8883099019266636</c:v>
                </c:pt>
                <c:pt idx="29">
                  <c:v>1.9217339109485982</c:v>
                </c:pt>
                <c:pt idx="30">
                  <c:v>1.9545864430270936</c:v>
                </c:pt>
                <c:pt idx="31">
                  <c:v>1.9868958457958525</c:v>
                </c:pt>
                <c:pt idx="32">
                  <c:v>2.0186881980177938</c:v>
                </c:pt>
                <c:pt idx="33">
                  <c:v>2.0499875559602394</c:v>
                </c:pt>
                <c:pt idx="34">
                  <c:v>2.0808161664037854</c:v>
                </c:pt>
                <c:pt idx="35">
                  <c:v>2.1111946516469904</c:v>
                </c:pt>
                <c:pt idx="36">
                  <c:v>2.1411421708794505</c:v>
                </c:pt>
                <c:pt idx="37">
                  <c:v>2.1706765615111516</c:v>
                </c:pt>
                <c:pt idx="38">
                  <c:v>2.1998144634194468</c:v>
                </c:pt>
                <c:pt idx="39">
                  <c:v>2.2285714285714286</c:v>
                </c:pt>
                <c:pt idx="40">
                  <c:v>2.2569620180721714</c:v>
                </c:pt>
                <c:pt idx="41">
                  <c:v>2.2849998883579663</c:v>
                </c:pt>
                <c:pt idx="42">
                  <c:v>2.3126978679826355</c:v>
                </c:pt>
                <c:pt idx="43">
                  <c:v>2.3400680262220881</c:v>
                </c:pt>
                <c:pt idx="44">
                  <c:v>2.3671217345380549</c:v>
                </c:pt>
                <c:pt idx="45">
                  <c:v>2.3938697217889615</c:v>
                </c:pt>
                <c:pt idx="46">
                  <c:v>2.4203221239482708</c:v>
                </c:pt>
                <c:pt idx="47">
                  <c:v>2.446488528983731</c:v>
                </c:pt>
                <c:pt idx="48">
                  <c:v>2.472378017461021</c:v>
                </c:pt>
                <c:pt idx="49">
                  <c:v>2.4979991993593593</c:v>
                </c:pt>
                <c:pt idx="50">
                  <c:v>2.5233602475222421</c:v>
                </c:pt>
                <c:pt idx="51">
                  <c:v>2.5484689281117441</c:v>
                </c:pt>
                <c:pt idx="52">
                  <c:v>2.5733326283880467</c:v>
                </c:pt>
                <c:pt idx="53">
                  <c:v>2.5979583820958414</c:v>
                </c:pt>
                <c:pt idx="54">
                  <c:v>2.6223528927048609</c:v>
                </c:pt>
                <c:pt idx="55">
                  <c:v>2.6465225547221514</c:v>
                </c:pt>
                <c:pt idx="56">
                  <c:v>2.6704734732680966</c:v>
                </c:pt>
                <c:pt idx="57">
                  <c:v>2.6942114820860072</c:v>
                </c:pt>
                <c:pt idx="58">
                  <c:v>2.7177421601357974</c:v>
                </c:pt>
                <c:pt idx="59">
                  <c:v>2.7410708469054756</c:v>
                </c:pt>
                <c:pt idx="60">
                  <c:v>2.7642026565595028</c:v>
                </c:pt>
                <c:pt idx="61">
                  <c:v>2.7871424910302167</c:v>
                </c:pt>
                <c:pt idx="62">
                  <c:v>2.8098950521472563</c:v>
                </c:pt>
                <c:pt idx="63">
                  <c:v>2.8324648528899949</c:v>
                </c:pt>
                <c:pt idx="64">
                  <c:v>2.8548562278392677</c:v>
                </c:pt>
                <c:pt idx="65">
                  <c:v>2.8770733428969382</c:v>
                </c:pt>
                <c:pt idx="66">
                  <c:v>2.8991202043350448</c:v>
                </c:pt>
                <c:pt idx="67">
                  <c:v>2.9210006672301847</c:v>
                </c:pt>
                <c:pt idx="68">
                  <c:v>2.9427184433334244</c:v>
                </c:pt>
                <c:pt idx="69">
                  <c:v>2.9642771084212427</c:v>
                </c:pt>
                <c:pt idx="70">
                  <c:v>2.9856801091687153</c:v>
                </c:pt>
                <c:pt idx="71">
                  <c:v>3.0069307695823699</c:v>
                </c:pt>
                <c:pt idx="72">
                  <c:v>3.02803229702669</c:v>
                </c:pt>
                <c:pt idx="73">
                  <c:v>3.0489877878752223</c:v>
                </c:pt>
                <c:pt idx="74">
                  <c:v>3.0698002328144667</c:v>
                </c:pt>
                <c:pt idx="75">
                  <c:v>3.0904725218262765</c:v>
                </c:pt>
                <c:pt idx="76">
                  <c:v>3.1110074488722743</c:v>
                </c:pt>
                <c:pt idx="77">
                  <c:v>3.1314077163017733</c:v>
                </c:pt>
                <c:pt idx="78">
                  <c:v>3.1516759390028977</c:v>
                </c:pt>
                <c:pt idx="79">
                  <c:v>3.1718146483149527</c:v>
                </c:pt>
                <c:pt idx="80">
                  <c:v>3.1918262957186152</c:v>
                </c:pt>
                <c:pt idx="81">
                  <c:v>3.2117132563191766</c:v>
                </c:pt>
                <c:pt idx="82">
                  <c:v>3.2314778321368438</c:v>
                </c:pt>
                <c:pt idx="83">
                  <c:v>3.2511222552170111</c:v>
                </c:pt>
                <c:pt idx="84">
                  <c:v>3.2706486905723851</c:v>
                </c:pt>
                <c:pt idx="85">
                  <c:v>3.2900592389679497</c:v>
                </c:pt>
                <c:pt idx="86">
                  <c:v>3.309355939558916</c:v>
                </c:pt>
                <c:pt idx="87">
                  <c:v>3.3285407723910168</c:v>
                </c:pt>
                <c:pt idx="88">
                  <c:v>3.3476156607718424</c:v>
                </c:pt>
                <c:pt idx="89">
                  <c:v>3.3665824735212424</c:v>
                </c:pt>
                <c:pt idx="90">
                  <c:v>3.385443027108257</c:v>
                </c:pt>
                <c:pt idx="91">
                  <c:v>3.4041990876814814</c:v>
                </c:pt>
                <c:pt idx="92">
                  <c:v>3.4228523729993001</c:v>
                </c:pt>
                <c:pt idx="93">
                  <c:v>3.4414045542659539</c:v>
                </c:pt>
                <c:pt idx="94">
                  <c:v>3.459857257878995</c:v>
                </c:pt>
                <c:pt idx="95">
                  <c:v>3.478212067093303</c:v>
                </c:pt>
                <c:pt idx="96">
                  <c:v>3.4964705236064808</c:v>
                </c:pt>
                <c:pt idx="97">
                  <c:v>3.5146341290701213</c:v>
                </c:pt>
                <c:pt idx="98">
                  <c:v>3.5327043465311387</c:v>
                </c:pt>
                <c:pt idx="99">
                  <c:v>3.5506826018070821</c:v>
                </c:pt>
                <c:pt idx="100">
                  <c:v>3.5685702847990846</c:v>
                </c:pt>
              </c:numCache>
            </c:numRef>
          </c:val>
          <c:smooth val="0"/>
        </c:ser>
        <c:dLbls>
          <c:showLegendKey val="0"/>
          <c:showVal val="0"/>
          <c:showCatName val="0"/>
          <c:showSerName val="0"/>
          <c:showPercent val="0"/>
          <c:showBubbleSize val="0"/>
        </c:dLbls>
        <c:marker val="1"/>
        <c:smooth val="0"/>
        <c:axId val="141426048"/>
        <c:axId val="141432320"/>
      </c:lineChart>
      <c:catAx>
        <c:axId val="141426048"/>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1432320"/>
        <c:crosses val="autoZero"/>
        <c:auto val="1"/>
        <c:lblAlgn val="ctr"/>
        <c:lblOffset val="100"/>
        <c:tickLblSkip val="20"/>
        <c:tickMarkSkip val="10"/>
        <c:noMultiLvlLbl val="0"/>
      </c:catAx>
      <c:valAx>
        <c:axId val="141432320"/>
        <c:scaling>
          <c:orientation val="minMax"/>
          <c:max val="1.4"/>
          <c:min val="0"/>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Peak</a:t>
                </a:r>
                <a:r>
                  <a:rPr lang="en-US" sz="1200" b="1" baseline="0">
                    <a:solidFill>
                      <a:schemeClr val="tx1"/>
                    </a:solidFill>
                    <a:latin typeface="Arial" pitchFamily="34" charset="0"/>
                    <a:cs typeface="Arial" pitchFamily="34" charset="0"/>
                  </a:rPr>
                  <a:t> Primary Current (A)</a:t>
                </a:r>
                <a:endParaRPr lang="en-US" sz="1200" b="1">
                  <a:solidFill>
                    <a:schemeClr val="tx1"/>
                  </a:solidFill>
                  <a:latin typeface="Arial" pitchFamily="34" charset="0"/>
                  <a:cs typeface="Arial" pitchFamily="34" charset="0"/>
                </a:endParaRPr>
              </a:p>
            </c:rich>
          </c:tx>
          <c:layout>
            <c:manualLayout>
              <c:xMode val="edge"/>
              <c:yMode val="edge"/>
              <c:x val="1.8892754684734177E-2"/>
              <c:y val="0.30303578260037478"/>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1426048"/>
        <c:crossesAt val="0"/>
        <c:crossBetween val="between"/>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80746883383756E-2"/>
          <c:y val="0.12133523343001466"/>
          <c:w val="0.86047278973849184"/>
          <c:h val="0.7558980268938309"/>
        </c:manualLayout>
      </c:layout>
      <c:lineChart>
        <c:grouping val="standard"/>
        <c:varyColors val="0"/>
        <c:ser>
          <c:idx val="1"/>
          <c:order val="0"/>
          <c:tx>
            <c:v>VIN-min</c:v>
          </c:tx>
          <c:spPr>
            <a:ln>
              <a:solidFill>
                <a:srgbClr val="00B050"/>
              </a:solidFill>
              <a:prstDash val="sysDash"/>
            </a:ln>
          </c:spPr>
          <c:marker>
            <c:symbol val="none"/>
          </c:marker>
          <c:val>
            <c:numRef>
              <c:f>'Calculations - Dual'!$AJ$110:$AJ$210</c:f>
              <c:numCache>
                <c:formatCode>0.000</c:formatCode>
                <c:ptCount val="101"/>
                <c:pt idx="0">
                  <c:v>1.0057142857142858</c:v>
                </c:pt>
                <c:pt idx="1">
                  <c:v>1.0237953599048186</c:v>
                </c:pt>
                <c:pt idx="2">
                  <c:v>1.0475907198096372</c:v>
                </c:pt>
                <c:pt idx="3">
                  <c:v>1.0713860797144557</c:v>
                </c:pt>
                <c:pt idx="4">
                  <c:v>1.0951814396192743</c:v>
                </c:pt>
                <c:pt idx="5">
                  <c:v>1.1189767995240929</c:v>
                </c:pt>
                <c:pt idx="6">
                  <c:v>1.1427721594289113</c:v>
                </c:pt>
                <c:pt idx="7">
                  <c:v>1.1665675193337299</c:v>
                </c:pt>
                <c:pt idx="8">
                  <c:v>1.1903628792385486</c:v>
                </c:pt>
                <c:pt idx="9">
                  <c:v>1.3856082114368335</c:v>
                </c:pt>
                <c:pt idx="10">
                  <c:v>1.4285044511378413</c:v>
                </c:pt>
                <c:pt idx="11">
                  <c:v>1.4693043461252056</c:v>
                </c:pt>
                <c:pt idx="12">
                  <c:v>1.5082881546151929</c:v>
                </c:pt>
                <c:pt idx="13">
                  <c:v>1.545678751254832</c:v>
                </c:pt>
                <c:pt idx="14">
                  <c:v>1.5816568419511468</c:v>
                </c:pt>
                <c:pt idx="15">
                  <c:v>1.6163713542812974</c:v>
                </c:pt>
                <c:pt idx="16">
                  <c:v>1.6499467510515806</c:v>
                </c:pt>
                <c:pt idx="17">
                  <c:v>1.6824883123457126</c:v>
                </c:pt>
                <c:pt idx="18">
                  <c:v>1.7140860359358112</c:v>
                </c:pt>
                <c:pt idx="19">
                  <c:v>1.7448175736563978</c:v>
                </c:pt>
                <c:pt idx="20">
                  <c:v>1.7747504798957834</c:v>
                </c:pt>
                <c:pt idx="21">
                  <c:v>1.8039439594712536</c:v>
                </c:pt>
                <c:pt idx="22">
                  <c:v>1.8324502447303119</c:v>
                </c:pt>
                <c:pt idx="23">
                  <c:v>1.8603156937034444</c:v>
                </c:pt>
                <c:pt idx="24">
                  <c:v>1.8875816754098076</c:v>
                </c:pt>
                <c:pt idx="25">
                  <c:v>1.9142852906663277</c:v>
                </c:pt>
                <c:pt idx="26">
                  <c:v>1.9404599642828071</c:v>
                </c:pt>
                <c:pt idx="27">
                  <c:v>1.9661359356264934</c:v>
                </c:pt>
                <c:pt idx="28">
                  <c:v>1.9913406680938248</c:v>
                </c:pt>
                <c:pt idx="29">
                  <c:v>2.0160991932952577</c:v>
                </c:pt>
                <c:pt idx="30">
                  <c:v>2.0404344022422918</c:v>
                </c:pt>
                <c:pt idx="31">
                  <c:v>2.0643672931821131</c:v>
                </c:pt>
                <c:pt idx="32">
                  <c:v>2.0879171837168844</c:v>
                </c:pt>
                <c:pt idx="33">
                  <c:v>2.1111018933038812</c:v>
                </c:pt>
                <c:pt idx="34">
                  <c:v>2.1339379010398409</c:v>
                </c:pt>
                <c:pt idx="35">
                  <c:v>2.2337324793465143</c:v>
                </c:pt>
                <c:pt idx="36">
                  <c:v>2.2806221903966266</c:v>
                </c:pt>
                <c:pt idx="37">
                  <c:v>2.3275119014467385</c:v>
                </c:pt>
                <c:pt idx="38">
                  <c:v>2.3744016124968512</c:v>
                </c:pt>
                <c:pt idx="39">
                  <c:v>2.4212913235469635</c:v>
                </c:pt>
                <c:pt idx="40">
                  <c:v>2.4681810345970758</c:v>
                </c:pt>
                <c:pt idx="41">
                  <c:v>2.5150707456471872</c:v>
                </c:pt>
                <c:pt idx="42">
                  <c:v>2.5619604566972991</c:v>
                </c:pt>
                <c:pt idx="43">
                  <c:v>2.608850167747411</c:v>
                </c:pt>
                <c:pt idx="44">
                  <c:v>2.6557398787975242</c:v>
                </c:pt>
                <c:pt idx="45">
                  <c:v>2.7026295898476356</c:v>
                </c:pt>
                <c:pt idx="46">
                  <c:v>2.7495193008977479</c:v>
                </c:pt>
                <c:pt idx="47">
                  <c:v>2.7964090119478597</c:v>
                </c:pt>
                <c:pt idx="48">
                  <c:v>2.843298722997972</c:v>
                </c:pt>
                <c:pt idx="49">
                  <c:v>2.8901884340480839</c:v>
                </c:pt>
                <c:pt idx="50">
                  <c:v>2.9370781450981962</c:v>
                </c:pt>
                <c:pt idx="51">
                  <c:v>2.9839678561483081</c:v>
                </c:pt>
                <c:pt idx="52">
                  <c:v>3.0308575671984208</c:v>
                </c:pt>
                <c:pt idx="53">
                  <c:v>3.0777472782485322</c:v>
                </c:pt>
                <c:pt idx="54">
                  <c:v>3.1246369892986445</c:v>
                </c:pt>
                <c:pt idx="55">
                  <c:v>3.1715267003487568</c:v>
                </c:pt>
                <c:pt idx="56">
                  <c:v>3.2184164113988682</c:v>
                </c:pt>
                <c:pt idx="57">
                  <c:v>3.2653061224489797</c:v>
                </c:pt>
                <c:pt idx="58">
                  <c:v>3.3121958334990911</c:v>
                </c:pt>
                <c:pt idx="59">
                  <c:v>3.3590855445492043</c:v>
                </c:pt>
                <c:pt idx="60">
                  <c:v>3.4059752555993157</c:v>
                </c:pt>
                <c:pt idx="61">
                  <c:v>3.452864966649428</c:v>
                </c:pt>
                <c:pt idx="62">
                  <c:v>3.4997546776995403</c:v>
                </c:pt>
                <c:pt idx="63">
                  <c:v>3.5466443887496526</c:v>
                </c:pt>
                <c:pt idx="64">
                  <c:v>3.5935340997997649</c:v>
                </c:pt>
                <c:pt idx="65">
                  <c:v>3.6296296296296298</c:v>
                </c:pt>
                <c:pt idx="66">
                  <c:v>3.6296296296296298</c:v>
                </c:pt>
                <c:pt idx="67">
                  <c:v>3.6296296296296298</c:v>
                </c:pt>
                <c:pt idx="68">
                  <c:v>3.6296296296296298</c:v>
                </c:pt>
                <c:pt idx="69">
                  <c:v>3.6296296296296298</c:v>
                </c:pt>
                <c:pt idx="70">
                  <c:v>3.6296296296296298</c:v>
                </c:pt>
                <c:pt idx="71">
                  <c:v>3.6296296296296298</c:v>
                </c:pt>
                <c:pt idx="72">
                  <c:v>3.6296296296296298</c:v>
                </c:pt>
                <c:pt idx="73">
                  <c:v>3.6296296296296298</c:v>
                </c:pt>
                <c:pt idx="74">
                  <c:v>3.6296296296296298</c:v>
                </c:pt>
                <c:pt idx="75">
                  <c:v>3.6296296296296298</c:v>
                </c:pt>
                <c:pt idx="76">
                  <c:v>3.6296296296296298</c:v>
                </c:pt>
                <c:pt idx="77">
                  <c:v>3.6296296296296298</c:v>
                </c:pt>
                <c:pt idx="78">
                  <c:v>3.6296296296296298</c:v>
                </c:pt>
                <c:pt idx="79">
                  <c:v>3.6296296296296298</c:v>
                </c:pt>
                <c:pt idx="80">
                  <c:v>3.6296296296296298</c:v>
                </c:pt>
                <c:pt idx="81">
                  <c:v>3.6296296296296298</c:v>
                </c:pt>
                <c:pt idx="82">
                  <c:v>3.6296296296296298</c:v>
                </c:pt>
                <c:pt idx="83">
                  <c:v>3.6296296296296298</c:v>
                </c:pt>
                <c:pt idx="84">
                  <c:v>3.6296296296296298</c:v>
                </c:pt>
                <c:pt idx="85">
                  <c:v>3.6296296296296298</c:v>
                </c:pt>
                <c:pt idx="86">
                  <c:v>3.6296296296296298</c:v>
                </c:pt>
                <c:pt idx="87">
                  <c:v>3.6296296296296298</c:v>
                </c:pt>
                <c:pt idx="88">
                  <c:v>3.6296296296296298</c:v>
                </c:pt>
                <c:pt idx="89">
                  <c:v>3.6296296296296298</c:v>
                </c:pt>
                <c:pt idx="90">
                  <c:v>3.6296296296296298</c:v>
                </c:pt>
                <c:pt idx="91">
                  <c:v>3.6296296296296298</c:v>
                </c:pt>
                <c:pt idx="92">
                  <c:v>3.6296296296296298</c:v>
                </c:pt>
                <c:pt idx="93">
                  <c:v>3.6296296296296298</c:v>
                </c:pt>
                <c:pt idx="94">
                  <c:v>3.6296296296296298</c:v>
                </c:pt>
                <c:pt idx="95">
                  <c:v>3.6296296296296298</c:v>
                </c:pt>
                <c:pt idx="96">
                  <c:v>3.6296296296296298</c:v>
                </c:pt>
                <c:pt idx="97">
                  <c:v>3.6296296296296298</c:v>
                </c:pt>
                <c:pt idx="98">
                  <c:v>3.6296296296296298</c:v>
                </c:pt>
                <c:pt idx="99">
                  <c:v>3.6296296296296298</c:v>
                </c:pt>
                <c:pt idx="100">
                  <c:v>3.6296296296296298</c:v>
                </c:pt>
              </c:numCache>
            </c:numRef>
          </c:val>
          <c:smooth val="0"/>
        </c:ser>
        <c:ser>
          <c:idx val="0"/>
          <c:order val="1"/>
          <c:tx>
            <c:v>VIN-nom</c:v>
          </c:tx>
          <c:spPr>
            <a:ln w="28575">
              <a:solidFill>
                <a:srgbClr val="0000FF"/>
              </a:solidFill>
              <a:prstDash val="lgDash"/>
            </a:ln>
          </c:spPr>
          <c:marker>
            <c:symbol val="none"/>
          </c:marker>
          <c:cat>
            <c:numRef>
              <c:f>'Calculations - Dual'!$AL$5:$AL$105</c:f>
              <c:numCache>
                <c:formatCode>0</c:formatCode>
                <c:ptCount val="101"/>
                <c:pt idx="0">
                  <c:v>1.0000000000000002E-6</c:v>
                </c:pt>
                <c:pt idx="1">
                  <c:v>8</c:v>
                </c:pt>
                <c:pt idx="2">
                  <c:v>16</c:v>
                </c:pt>
                <c:pt idx="3">
                  <c:v>24</c:v>
                </c:pt>
                <c:pt idx="4">
                  <c:v>32</c:v>
                </c:pt>
                <c:pt idx="5">
                  <c:v>40.000000000000007</c:v>
                </c:pt>
                <c:pt idx="6">
                  <c:v>48</c:v>
                </c:pt>
                <c:pt idx="7">
                  <c:v>56.000000000000007</c:v>
                </c:pt>
                <c:pt idx="8">
                  <c:v>64</c:v>
                </c:pt>
                <c:pt idx="9">
                  <c:v>72</c:v>
                </c:pt>
                <c:pt idx="10">
                  <c:v>80.000000000000014</c:v>
                </c:pt>
                <c:pt idx="11">
                  <c:v>88.000000000000014</c:v>
                </c:pt>
                <c:pt idx="12">
                  <c:v>96</c:v>
                </c:pt>
                <c:pt idx="13">
                  <c:v>104.00000000000001</c:v>
                </c:pt>
                <c:pt idx="14">
                  <c:v>112.00000000000001</c:v>
                </c:pt>
                <c:pt idx="15">
                  <c:v>120</c:v>
                </c:pt>
                <c:pt idx="16">
                  <c:v>128</c:v>
                </c:pt>
                <c:pt idx="17">
                  <c:v>136</c:v>
                </c:pt>
                <c:pt idx="18">
                  <c:v>144</c:v>
                </c:pt>
                <c:pt idx="19">
                  <c:v>152.00000000000003</c:v>
                </c:pt>
                <c:pt idx="20">
                  <c:v>160.00000000000003</c:v>
                </c:pt>
                <c:pt idx="21">
                  <c:v>168</c:v>
                </c:pt>
                <c:pt idx="22">
                  <c:v>176.00000000000003</c:v>
                </c:pt>
                <c:pt idx="23">
                  <c:v>184.00000000000003</c:v>
                </c:pt>
                <c:pt idx="24">
                  <c:v>192</c:v>
                </c:pt>
                <c:pt idx="25">
                  <c:v>200</c:v>
                </c:pt>
                <c:pt idx="26">
                  <c:v>208.00000000000003</c:v>
                </c:pt>
                <c:pt idx="27">
                  <c:v>216.00000000000003</c:v>
                </c:pt>
                <c:pt idx="28">
                  <c:v>224.00000000000003</c:v>
                </c:pt>
                <c:pt idx="29">
                  <c:v>231.99999999999997</c:v>
                </c:pt>
                <c:pt idx="30">
                  <c:v>240</c:v>
                </c:pt>
                <c:pt idx="31">
                  <c:v>248</c:v>
                </c:pt>
                <c:pt idx="32">
                  <c:v>256</c:v>
                </c:pt>
                <c:pt idx="33">
                  <c:v>264</c:v>
                </c:pt>
                <c:pt idx="34">
                  <c:v>272</c:v>
                </c:pt>
                <c:pt idx="35">
                  <c:v>279.99999999999994</c:v>
                </c:pt>
                <c:pt idx="36">
                  <c:v>288</c:v>
                </c:pt>
                <c:pt idx="37">
                  <c:v>296</c:v>
                </c:pt>
                <c:pt idx="38">
                  <c:v>304.00000000000006</c:v>
                </c:pt>
                <c:pt idx="39">
                  <c:v>312.00000000000006</c:v>
                </c:pt>
                <c:pt idx="40">
                  <c:v>320.00000000000006</c:v>
                </c:pt>
                <c:pt idx="41">
                  <c:v>328</c:v>
                </c:pt>
                <c:pt idx="42">
                  <c:v>336</c:v>
                </c:pt>
                <c:pt idx="43">
                  <c:v>344</c:v>
                </c:pt>
                <c:pt idx="44">
                  <c:v>352.00000000000006</c:v>
                </c:pt>
                <c:pt idx="45">
                  <c:v>360.00000000000006</c:v>
                </c:pt>
                <c:pt idx="46">
                  <c:v>368.00000000000006</c:v>
                </c:pt>
                <c:pt idx="47">
                  <c:v>376</c:v>
                </c:pt>
                <c:pt idx="48">
                  <c:v>384</c:v>
                </c:pt>
                <c:pt idx="49">
                  <c:v>392</c:v>
                </c:pt>
                <c:pt idx="50">
                  <c:v>400</c:v>
                </c:pt>
                <c:pt idx="51">
                  <c:v>408.00000000000006</c:v>
                </c:pt>
                <c:pt idx="52">
                  <c:v>416.00000000000006</c:v>
                </c:pt>
                <c:pt idx="53">
                  <c:v>424.00000000000006</c:v>
                </c:pt>
                <c:pt idx="54">
                  <c:v>432.00000000000006</c:v>
                </c:pt>
                <c:pt idx="55">
                  <c:v>440.00000000000006</c:v>
                </c:pt>
                <c:pt idx="56">
                  <c:v>448.00000000000006</c:v>
                </c:pt>
                <c:pt idx="57">
                  <c:v>455.99999999999994</c:v>
                </c:pt>
                <c:pt idx="58">
                  <c:v>463.99999999999994</c:v>
                </c:pt>
                <c:pt idx="59">
                  <c:v>472</c:v>
                </c:pt>
                <c:pt idx="60">
                  <c:v>480</c:v>
                </c:pt>
                <c:pt idx="61">
                  <c:v>488</c:v>
                </c:pt>
                <c:pt idx="62">
                  <c:v>496</c:v>
                </c:pt>
                <c:pt idx="63">
                  <c:v>504</c:v>
                </c:pt>
                <c:pt idx="64">
                  <c:v>512</c:v>
                </c:pt>
                <c:pt idx="65">
                  <c:v>520</c:v>
                </c:pt>
                <c:pt idx="66">
                  <c:v>528</c:v>
                </c:pt>
                <c:pt idx="67">
                  <c:v>536</c:v>
                </c:pt>
                <c:pt idx="68">
                  <c:v>544</c:v>
                </c:pt>
                <c:pt idx="69">
                  <c:v>551.99999999999989</c:v>
                </c:pt>
                <c:pt idx="70">
                  <c:v>559.99999999999989</c:v>
                </c:pt>
                <c:pt idx="71">
                  <c:v>568</c:v>
                </c:pt>
                <c:pt idx="72">
                  <c:v>576</c:v>
                </c:pt>
                <c:pt idx="73">
                  <c:v>584</c:v>
                </c:pt>
                <c:pt idx="74">
                  <c:v>592</c:v>
                </c:pt>
                <c:pt idx="75">
                  <c:v>600.00000000000011</c:v>
                </c:pt>
                <c:pt idx="76">
                  <c:v>608.00000000000011</c:v>
                </c:pt>
                <c:pt idx="77">
                  <c:v>616.00000000000011</c:v>
                </c:pt>
                <c:pt idx="78">
                  <c:v>624.00000000000011</c:v>
                </c:pt>
                <c:pt idx="79">
                  <c:v>632.00000000000011</c:v>
                </c:pt>
                <c:pt idx="80">
                  <c:v>640.00000000000011</c:v>
                </c:pt>
                <c:pt idx="81">
                  <c:v>648.00000000000011</c:v>
                </c:pt>
                <c:pt idx="82">
                  <c:v>656</c:v>
                </c:pt>
                <c:pt idx="83">
                  <c:v>664</c:v>
                </c:pt>
                <c:pt idx="84">
                  <c:v>672</c:v>
                </c:pt>
                <c:pt idx="85">
                  <c:v>680</c:v>
                </c:pt>
                <c:pt idx="86">
                  <c:v>688</c:v>
                </c:pt>
                <c:pt idx="87">
                  <c:v>696.00000000000011</c:v>
                </c:pt>
                <c:pt idx="88">
                  <c:v>704.00000000000011</c:v>
                </c:pt>
                <c:pt idx="89">
                  <c:v>712.00000000000011</c:v>
                </c:pt>
                <c:pt idx="90">
                  <c:v>720.00000000000011</c:v>
                </c:pt>
                <c:pt idx="91">
                  <c:v>728.00000000000011</c:v>
                </c:pt>
                <c:pt idx="92">
                  <c:v>736.00000000000011</c:v>
                </c:pt>
                <c:pt idx="93">
                  <c:v>744.00000000000011</c:v>
                </c:pt>
                <c:pt idx="94">
                  <c:v>752</c:v>
                </c:pt>
                <c:pt idx="95">
                  <c:v>760</c:v>
                </c:pt>
                <c:pt idx="96">
                  <c:v>768</c:v>
                </c:pt>
                <c:pt idx="97">
                  <c:v>776</c:v>
                </c:pt>
                <c:pt idx="98">
                  <c:v>784</c:v>
                </c:pt>
                <c:pt idx="99">
                  <c:v>792</c:v>
                </c:pt>
                <c:pt idx="100">
                  <c:v>800</c:v>
                </c:pt>
              </c:numCache>
            </c:numRef>
          </c:cat>
          <c:val>
            <c:numRef>
              <c:f>'Calculations - Dual'!$AJ$5:$AJ$105</c:f>
              <c:numCache>
                <c:formatCode>0.000</c:formatCode>
                <c:ptCount val="101"/>
                <c:pt idx="0">
                  <c:v>1.0057142857142858</c:v>
                </c:pt>
                <c:pt idx="1">
                  <c:v>1.0237953599048186</c:v>
                </c:pt>
                <c:pt idx="2">
                  <c:v>1.0475907198096372</c:v>
                </c:pt>
                <c:pt idx="3">
                  <c:v>1.0713860797144557</c:v>
                </c:pt>
                <c:pt idx="4">
                  <c:v>1.0951814396192743</c:v>
                </c:pt>
                <c:pt idx="5">
                  <c:v>1.1189767995240929</c:v>
                </c:pt>
                <c:pt idx="6">
                  <c:v>1.1427721594289113</c:v>
                </c:pt>
                <c:pt idx="7">
                  <c:v>1.1665675193337299</c:v>
                </c:pt>
                <c:pt idx="8">
                  <c:v>1.1903628792385486</c:v>
                </c:pt>
                <c:pt idx="9">
                  <c:v>1.3856082114368335</c:v>
                </c:pt>
                <c:pt idx="10">
                  <c:v>1.4285044511378413</c:v>
                </c:pt>
                <c:pt idx="11">
                  <c:v>1.4693043461252056</c:v>
                </c:pt>
                <c:pt idx="12">
                  <c:v>1.5082881546151929</c:v>
                </c:pt>
                <c:pt idx="13">
                  <c:v>1.545678751254832</c:v>
                </c:pt>
                <c:pt idx="14">
                  <c:v>1.5816568419511468</c:v>
                </c:pt>
                <c:pt idx="15">
                  <c:v>1.6163713542812974</c:v>
                </c:pt>
                <c:pt idx="16">
                  <c:v>1.6499467510515806</c:v>
                </c:pt>
                <c:pt idx="17">
                  <c:v>1.6824883123457126</c:v>
                </c:pt>
                <c:pt idx="18">
                  <c:v>1.7140860359358112</c:v>
                </c:pt>
                <c:pt idx="19">
                  <c:v>1.7448175736563978</c:v>
                </c:pt>
                <c:pt idx="20">
                  <c:v>1.7747504798957834</c:v>
                </c:pt>
                <c:pt idx="21">
                  <c:v>1.8039439594712536</c:v>
                </c:pt>
                <c:pt idx="22">
                  <c:v>1.8324502447303119</c:v>
                </c:pt>
                <c:pt idx="23">
                  <c:v>1.8603156937034444</c:v>
                </c:pt>
                <c:pt idx="24">
                  <c:v>1.8875816754098076</c:v>
                </c:pt>
                <c:pt idx="25">
                  <c:v>1.9142852906663277</c:v>
                </c:pt>
                <c:pt idx="26">
                  <c:v>1.9404599642828071</c:v>
                </c:pt>
                <c:pt idx="27">
                  <c:v>1.9661359356264934</c:v>
                </c:pt>
                <c:pt idx="28">
                  <c:v>1.9913406680938248</c:v>
                </c:pt>
                <c:pt idx="29">
                  <c:v>2.0160991932952577</c:v>
                </c:pt>
                <c:pt idx="30">
                  <c:v>2.0404344022422918</c:v>
                </c:pt>
                <c:pt idx="31">
                  <c:v>2.0643672931821131</c:v>
                </c:pt>
                <c:pt idx="32">
                  <c:v>2.0879171837168844</c:v>
                </c:pt>
                <c:pt idx="33">
                  <c:v>2.1111018933038812</c:v>
                </c:pt>
                <c:pt idx="34">
                  <c:v>2.1339379010398409</c:v>
                </c:pt>
                <c:pt idx="35">
                  <c:v>2.1564404827014743</c:v>
                </c:pt>
                <c:pt idx="36">
                  <c:v>2.1786238302810745</c:v>
                </c:pt>
                <c:pt idx="37">
                  <c:v>2.2005011566749273</c:v>
                </c:pt>
                <c:pt idx="38">
                  <c:v>2.2220847877181087</c:v>
                </c:pt>
                <c:pt idx="39">
                  <c:v>2.2433862433862437</c:v>
                </c:pt>
                <c:pt idx="40">
                  <c:v>2.26441630968309</c:v>
                </c:pt>
                <c:pt idx="41">
                  <c:v>2.2851851024873824</c:v>
                </c:pt>
                <c:pt idx="42">
                  <c:v>2.3057021244315821</c:v>
                </c:pt>
                <c:pt idx="43">
                  <c:v>2.3259763157200655</c:v>
                </c:pt>
                <c:pt idx="44">
                  <c:v>2.3460160996578185</c:v>
                </c:pt>
                <c:pt idx="45">
                  <c:v>2.3658294235473791</c:v>
                </c:pt>
                <c:pt idx="46">
                  <c:v>2.3854237955172377</c:v>
                </c:pt>
                <c:pt idx="47">
                  <c:v>2.4048063177657268</c:v>
                </c:pt>
                <c:pt idx="48">
                  <c:v>2.4239837166377933</c:v>
                </c:pt>
                <c:pt idx="49">
                  <c:v>2.4429623698958221</c:v>
                </c:pt>
                <c:pt idx="50">
                  <c:v>2.4617483314979571</c:v>
                </c:pt>
                <c:pt idx="51">
                  <c:v>2.4803473541568479</c:v>
                </c:pt>
                <c:pt idx="52">
                  <c:v>2.4987649099170719</c:v>
                </c:pt>
                <c:pt idx="53">
                  <c:v>2.5170062089598826</c:v>
                </c:pt>
                <c:pt idx="54">
                  <c:v>2.5350762168184158</c:v>
                </c:pt>
                <c:pt idx="55">
                  <c:v>2.5529796701645564</c:v>
                </c:pt>
                <c:pt idx="56">
                  <c:v>2.5707210913097009</c:v>
                </c:pt>
                <c:pt idx="57">
                  <c:v>2.5883048015451906</c:v>
                </c:pt>
                <c:pt idx="58">
                  <c:v>2.6057349334339239</c:v>
                </c:pt>
                <c:pt idx="59">
                  <c:v>2.6230154421522043</c:v>
                </c:pt>
                <c:pt idx="60">
                  <c:v>2.6401501159700023</c:v>
                </c:pt>
                <c:pt idx="61">
                  <c:v>2.6571425859483089</c:v>
                </c:pt>
                <c:pt idx="62">
                  <c:v>2.6739963349238938</c:v>
                </c:pt>
                <c:pt idx="63">
                  <c:v>2.6907147058444405</c:v>
                </c:pt>
                <c:pt idx="64">
                  <c:v>2.7073009095105691</c:v>
                </c:pt>
                <c:pt idx="65">
                  <c:v>2.7237580317755099</c:v>
                </c:pt>
                <c:pt idx="66">
                  <c:v>2.7400890402481815</c:v>
                </c:pt>
                <c:pt idx="67">
                  <c:v>2.756296790540878</c:v>
                </c:pt>
                <c:pt idx="68">
                  <c:v>2.7723840320988327</c:v>
                </c:pt>
                <c:pt idx="69">
                  <c:v>2.7883534136453649</c:v>
                </c:pt>
                <c:pt idx="70">
                  <c:v>2.8042074882731223</c:v>
                </c:pt>
                <c:pt idx="71">
                  <c:v>2.8199487182091634</c:v>
                </c:pt>
                <c:pt idx="72">
                  <c:v>2.8355794792790299</c:v>
                </c:pt>
                <c:pt idx="73">
                  <c:v>2.8511020650927574</c:v>
                </c:pt>
                <c:pt idx="74">
                  <c:v>2.8665186909736793</c:v>
                </c:pt>
                <c:pt idx="75">
                  <c:v>2.881831497649094</c:v>
                </c:pt>
                <c:pt idx="76">
                  <c:v>2.8970425547202034</c:v>
                </c:pt>
                <c:pt idx="77">
                  <c:v>2.9121538639272395</c:v>
                </c:pt>
                <c:pt idx="78">
                  <c:v>2.9271673622243686</c:v>
                </c:pt>
                <c:pt idx="79">
                  <c:v>2.9420849246777427</c:v>
                </c:pt>
                <c:pt idx="80">
                  <c:v>2.9569083671989742</c:v>
                </c:pt>
                <c:pt idx="81">
                  <c:v>2.9716394491253162</c:v>
                </c:pt>
                <c:pt idx="82">
                  <c:v>2.9862798756569213</c:v>
                </c:pt>
                <c:pt idx="83">
                  <c:v>3.0008313001607494</c:v>
                </c:pt>
                <c:pt idx="84">
                  <c:v>3.0152953263499152</c:v>
                </c:pt>
                <c:pt idx="85">
                  <c:v>3.0296735103466297</c:v>
                </c:pt>
                <c:pt idx="86">
                  <c:v>3.6296296296296298</c:v>
                </c:pt>
                <c:pt idx="87">
                  <c:v>3.6296296296296298</c:v>
                </c:pt>
                <c:pt idx="88">
                  <c:v>3.6296296296296298</c:v>
                </c:pt>
                <c:pt idx="89">
                  <c:v>3.6296296296296298</c:v>
                </c:pt>
                <c:pt idx="90">
                  <c:v>3.6296296296296298</c:v>
                </c:pt>
                <c:pt idx="91">
                  <c:v>3.6296296296296298</c:v>
                </c:pt>
                <c:pt idx="92">
                  <c:v>3.6296296296296298</c:v>
                </c:pt>
                <c:pt idx="93">
                  <c:v>3.6296296296296298</c:v>
                </c:pt>
                <c:pt idx="94">
                  <c:v>3.6296296296296298</c:v>
                </c:pt>
                <c:pt idx="95">
                  <c:v>3.6296296296296298</c:v>
                </c:pt>
                <c:pt idx="96">
                  <c:v>3.6296296296296298</c:v>
                </c:pt>
                <c:pt idx="97">
                  <c:v>3.6296296296296298</c:v>
                </c:pt>
                <c:pt idx="98">
                  <c:v>3.6296296296296298</c:v>
                </c:pt>
                <c:pt idx="99">
                  <c:v>3.6296296296296298</c:v>
                </c:pt>
                <c:pt idx="100">
                  <c:v>3.6296296296296298</c:v>
                </c:pt>
              </c:numCache>
            </c:numRef>
          </c:val>
          <c:smooth val="0"/>
        </c:ser>
        <c:ser>
          <c:idx val="2"/>
          <c:order val="2"/>
          <c:tx>
            <c:v>VIN-max</c:v>
          </c:tx>
          <c:spPr>
            <a:ln>
              <a:solidFill>
                <a:srgbClr val="FF0000"/>
              </a:solidFill>
              <a:prstDash val="solid"/>
            </a:ln>
          </c:spPr>
          <c:marker>
            <c:symbol val="none"/>
          </c:marker>
          <c:val>
            <c:numRef>
              <c:f>'Calculations - Dual'!$AJ$218:$AJ$318</c:f>
              <c:numCache>
                <c:formatCode>0.000</c:formatCode>
                <c:ptCount val="101"/>
                <c:pt idx="0">
                  <c:v>1.0057142857142858</c:v>
                </c:pt>
                <c:pt idx="1">
                  <c:v>1.0237953599048186</c:v>
                </c:pt>
                <c:pt idx="2">
                  <c:v>1.0475907198096372</c:v>
                </c:pt>
                <c:pt idx="3">
                  <c:v>1.0713860797144557</c:v>
                </c:pt>
                <c:pt idx="4">
                  <c:v>1.0951814396192743</c:v>
                </c:pt>
                <c:pt idx="5">
                  <c:v>1.1189767995240929</c:v>
                </c:pt>
                <c:pt idx="6">
                  <c:v>1.1427721594289113</c:v>
                </c:pt>
                <c:pt idx="7">
                  <c:v>1.1665675193337299</c:v>
                </c:pt>
                <c:pt idx="8">
                  <c:v>1.1903628792385486</c:v>
                </c:pt>
                <c:pt idx="9">
                  <c:v>1.3856082114368335</c:v>
                </c:pt>
                <c:pt idx="10">
                  <c:v>1.4285044511378413</c:v>
                </c:pt>
                <c:pt idx="11">
                  <c:v>1.4693043461252056</c:v>
                </c:pt>
                <c:pt idx="12">
                  <c:v>1.5082881546151929</c:v>
                </c:pt>
                <c:pt idx="13">
                  <c:v>1.545678751254832</c:v>
                </c:pt>
                <c:pt idx="14">
                  <c:v>1.5816568419511468</c:v>
                </c:pt>
                <c:pt idx="15">
                  <c:v>1.6163713542812974</c:v>
                </c:pt>
                <c:pt idx="16">
                  <c:v>1.6499467510515806</c:v>
                </c:pt>
                <c:pt idx="17">
                  <c:v>1.6824883123457126</c:v>
                </c:pt>
                <c:pt idx="18">
                  <c:v>1.7140860359358112</c:v>
                </c:pt>
                <c:pt idx="19">
                  <c:v>1.7448175736563978</c:v>
                </c:pt>
                <c:pt idx="20">
                  <c:v>1.7747504798957834</c:v>
                </c:pt>
                <c:pt idx="21">
                  <c:v>1.8039439594712536</c:v>
                </c:pt>
                <c:pt idx="22">
                  <c:v>1.8324502447303119</c:v>
                </c:pt>
                <c:pt idx="23">
                  <c:v>1.8603156937034444</c:v>
                </c:pt>
                <c:pt idx="24">
                  <c:v>1.8875816754098076</c:v>
                </c:pt>
                <c:pt idx="25">
                  <c:v>1.9142852906663277</c:v>
                </c:pt>
                <c:pt idx="26">
                  <c:v>1.9404599642828071</c:v>
                </c:pt>
                <c:pt idx="27">
                  <c:v>1.9661359356264934</c:v>
                </c:pt>
                <c:pt idx="28">
                  <c:v>1.9913406680938248</c:v>
                </c:pt>
                <c:pt idx="29">
                  <c:v>2.0160991932952577</c:v>
                </c:pt>
                <c:pt idx="30">
                  <c:v>2.0404344022422918</c:v>
                </c:pt>
                <c:pt idx="31">
                  <c:v>2.0643672931821131</c:v>
                </c:pt>
                <c:pt idx="32">
                  <c:v>2.0879171837168844</c:v>
                </c:pt>
                <c:pt idx="33">
                  <c:v>2.1111018933038812</c:v>
                </c:pt>
                <c:pt idx="34">
                  <c:v>2.1339379010398409</c:v>
                </c:pt>
                <c:pt idx="35">
                  <c:v>2.1564404827014743</c:v>
                </c:pt>
                <c:pt idx="36">
                  <c:v>2.1786238302810745</c:v>
                </c:pt>
                <c:pt idx="37">
                  <c:v>2.2005011566749273</c:v>
                </c:pt>
                <c:pt idx="38">
                  <c:v>2.2220847877181087</c:v>
                </c:pt>
                <c:pt idx="39">
                  <c:v>2.2433862433862437</c:v>
                </c:pt>
                <c:pt idx="40">
                  <c:v>2.26441630968309</c:v>
                </c:pt>
                <c:pt idx="41">
                  <c:v>2.2851851024873824</c:v>
                </c:pt>
                <c:pt idx="42">
                  <c:v>2.3057021244315821</c:v>
                </c:pt>
                <c:pt idx="43">
                  <c:v>2.3259763157200655</c:v>
                </c:pt>
                <c:pt idx="44">
                  <c:v>2.3460160996578185</c:v>
                </c:pt>
                <c:pt idx="45">
                  <c:v>2.3658294235473791</c:v>
                </c:pt>
                <c:pt idx="46">
                  <c:v>2.3854237955172377</c:v>
                </c:pt>
                <c:pt idx="47">
                  <c:v>2.4048063177657268</c:v>
                </c:pt>
                <c:pt idx="48">
                  <c:v>2.4239837166377933</c:v>
                </c:pt>
                <c:pt idx="49">
                  <c:v>2.4429623698958221</c:v>
                </c:pt>
                <c:pt idx="50">
                  <c:v>2.4617483314979571</c:v>
                </c:pt>
                <c:pt idx="51">
                  <c:v>2.4803473541568479</c:v>
                </c:pt>
                <c:pt idx="52">
                  <c:v>2.4987649099170719</c:v>
                </c:pt>
                <c:pt idx="53">
                  <c:v>2.5170062089598826</c:v>
                </c:pt>
                <c:pt idx="54">
                  <c:v>2.5350762168184158</c:v>
                </c:pt>
                <c:pt idx="55">
                  <c:v>2.5529796701645564</c:v>
                </c:pt>
                <c:pt idx="56">
                  <c:v>2.5707210913097009</c:v>
                </c:pt>
                <c:pt idx="57">
                  <c:v>2.5883048015451906</c:v>
                </c:pt>
                <c:pt idx="58">
                  <c:v>2.6057349334339239</c:v>
                </c:pt>
                <c:pt idx="59">
                  <c:v>2.6230154421522043</c:v>
                </c:pt>
                <c:pt idx="60">
                  <c:v>2.6401501159700023</c:v>
                </c:pt>
                <c:pt idx="61">
                  <c:v>2.6571425859483089</c:v>
                </c:pt>
                <c:pt idx="62">
                  <c:v>2.6739963349238938</c:v>
                </c:pt>
                <c:pt idx="63">
                  <c:v>2.6907147058444405</c:v>
                </c:pt>
                <c:pt idx="64">
                  <c:v>2.7073009095105691</c:v>
                </c:pt>
                <c:pt idx="65">
                  <c:v>2.7237580317755099</c:v>
                </c:pt>
                <c:pt idx="66">
                  <c:v>2.7400890402481815</c:v>
                </c:pt>
                <c:pt idx="67">
                  <c:v>2.756296790540878</c:v>
                </c:pt>
                <c:pt idx="68">
                  <c:v>2.7723840320988327</c:v>
                </c:pt>
                <c:pt idx="69">
                  <c:v>2.7883534136453649</c:v>
                </c:pt>
                <c:pt idx="70">
                  <c:v>2.8042074882731223</c:v>
                </c:pt>
                <c:pt idx="71">
                  <c:v>2.8199487182091634</c:v>
                </c:pt>
                <c:pt idx="72">
                  <c:v>2.8355794792790299</c:v>
                </c:pt>
                <c:pt idx="73">
                  <c:v>2.8511020650927574</c:v>
                </c:pt>
                <c:pt idx="74">
                  <c:v>2.8665186909736793</c:v>
                </c:pt>
                <c:pt idx="75">
                  <c:v>2.881831497649094</c:v>
                </c:pt>
                <c:pt idx="76">
                  <c:v>2.8970425547202034</c:v>
                </c:pt>
                <c:pt idx="77">
                  <c:v>2.9121538639272395</c:v>
                </c:pt>
                <c:pt idx="78">
                  <c:v>2.9271673622243686</c:v>
                </c:pt>
                <c:pt idx="79">
                  <c:v>2.9420849246777427</c:v>
                </c:pt>
                <c:pt idx="80">
                  <c:v>2.9569083671989742</c:v>
                </c:pt>
                <c:pt idx="81">
                  <c:v>2.9716394491253162</c:v>
                </c:pt>
                <c:pt idx="82">
                  <c:v>2.9862798756569213</c:v>
                </c:pt>
                <c:pt idx="83">
                  <c:v>3.0008313001607494</c:v>
                </c:pt>
                <c:pt idx="84">
                  <c:v>3.0152953263499152</c:v>
                </c:pt>
                <c:pt idx="85">
                  <c:v>3.0296735103466297</c:v>
                </c:pt>
                <c:pt idx="86">
                  <c:v>3.0439673626362342</c:v>
                </c:pt>
                <c:pt idx="87">
                  <c:v>3.0581783499192721</c:v>
                </c:pt>
                <c:pt idx="88">
                  <c:v>3.0723078968680313</c:v>
                </c:pt>
                <c:pt idx="89">
                  <c:v>3.0863573877935129</c:v>
                </c:pt>
                <c:pt idx="90">
                  <c:v>3.100328168228339</c:v>
                </c:pt>
                <c:pt idx="91">
                  <c:v>3.114221546430727</c:v>
                </c:pt>
                <c:pt idx="92">
                  <c:v>3.1280387948142963</c:v>
                </c:pt>
                <c:pt idx="93">
                  <c:v>3.1417811513081144</c:v>
                </c:pt>
                <c:pt idx="94">
                  <c:v>3.1554498206511075</c:v>
                </c:pt>
                <c:pt idx="95">
                  <c:v>3.1690459756246687</c:v>
                </c:pt>
                <c:pt idx="96">
                  <c:v>3.1825707582270231</c:v>
                </c:pt>
                <c:pt idx="97">
                  <c:v>3.1960252807926826</c:v>
                </c:pt>
                <c:pt idx="98">
                  <c:v>3.2094106270601026</c:v>
                </c:pt>
                <c:pt idx="99">
                  <c:v>3.2227278531904311</c:v>
                </c:pt>
                <c:pt idx="100">
                  <c:v>3.2359779887400624</c:v>
                </c:pt>
              </c:numCache>
            </c:numRef>
          </c:val>
          <c:smooth val="0"/>
        </c:ser>
        <c:dLbls>
          <c:showLegendKey val="0"/>
          <c:showVal val="0"/>
          <c:showCatName val="0"/>
          <c:showSerName val="0"/>
          <c:showPercent val="0"/>
          <c:showBubbleSize val="0"/>
        </c:dLbls>
        <c:marker val="1"/>
        <c:smooth val="0"/>
        <c:axId val="141478912"/>
        <c:axId val="141485184"/>
      </c:lineChart>
      <c:catAx>
        <c:axId val="141478912"/>
        <c:scaling>
          <c:orientation val="minMax"/>
        </c:scaling>
        <c:delete val="0"/>
        <c:axPos val="b"/>
        <c:majorGridlines>
          <c:spPr>
            <a:ln w="15875">
              <a:solidFill>
                <a:srgbClr val="969696"/>
              </a:solidFill>
              <a:prstDash val="sysDash"/>
            </a:ln>
          </c:spPr>
        </c:majorGridlines>
        <c:title>
          <c:tx>
            <c:rich>
              <a:bodyPr/>
              <a:lstStyle/>
              <a:p>
                <a:pPr>
                  <a:defRPr sz="1200" b="1" i="0" u="none" strike="noStrike" baseline="0">
                    <a:solidFill>
                      <a:schemeClr val="tx1"/>
                    </a:solidFill>
                    <a:latin typeface="Arial" pitchFamily="34" charset="0"/>
                    <a:ea typeface="Calibri"/>
                    <a:cs typeface="Arial" pitchFamily="34" charset="0"/>
                  </a:defRPr>
                </a:pPr>
                <a:r>
                  <a:rPr lang="en-US" sz="1200">
                    <a:solidFill>
                      <a:schemeClr val="tx1"/>
                    </a:solidFill>
                    <a:latin typeface="Arial" pitchFamily="34" charset="0"/>
                    <a:cs typeface="Arial" pitchFamily="34" charset="0"/>
                  </a:rPr>
                  <a:t>Load Current (mA)</a:t>
                </a:r>
              </a:p>
            </c:rich>
          </c:tx>
          <c:layout>
            <c:manualLayout>
              <c:xMode val="edge"/>
              <c:yMode val="edge"/>
              <c:x val="0.45424135936496307"/>
              <c:y val="0.9410669161053864"/>
            </c:manualLayout>
          </c:layout>
          <c:overlay val="0"/>
          <c:spPr>
            <a:noFill/>
            <a:ln w="25400">
              <a:noFill/>
            </a:ln>
          </c:spPr>
        </c:title>
        <c:numFmt formatCode="0" sourceLinked="1"/>
        <c:majorTickMark val="in"/>
        <c:minorTickMark val="in"/>
        <c:tickLblPos val="nextTo"/>
        <c:spPr>
          <a:ln w="3175">
            <a:solidFill>
              <a:schemeClr val="tx1"/>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1485184"/>
        <c:crosses val="autoZero"/>
        <c:auto val="1"/>
        <c:lblAlgn val="ctr"/>
        <c:lblOffset val="100"/>
        <c:tickLblSkip val="20"/>
        <c:tickMarkSkip val="10"/>
        <c:noMultiLvlLbl val="0"/>
      </c:catAx>
      <c:valAx>
        <c:axId val="141485184"/>
        <c:scaling>
          <c:orientation val="minMax"/>
          <c:max val="2.2000000000000002"/>
          <c:min val="1"/>
        </c:scaling>
        <c:delete val="0"/>
        <c:axPos val="l"/>
        <c:majorGridlines>
          <c:spPr>
            <a:ln w="15875">
              <a:solidFill>
                <a:srgbClr val="808080"/>
              </a:solidFill>
              <a:prstDash val="solid"/>
            </a:ln>
          </c:spPr>
        </c:majorGridlines>
        <c:title>
          <c:tx>
            <c:rich>
              <a:bodyPr/>
              <a:lstStyle/>
              <a:p>
                <a:pPr>
                  <a:defRPr sz="1400" b="1" i="0" u="none" strike="noStrike" baseline="0">
                    <a:solidFill>
                      <a:schemeClr val="tx1"/>
                    </a:solidFill>
                    <a:latin typeface="Arial" pitchFamily="34" charset="0"/>
                    <a:ea typeface="Calibri"/>
                    <a:cs typeface="Arial" pitchFamily="34" charset="0"/>
                  </a:defRPr>
                </a:pPr>
                <a:r>
                  <a:rPr lang="en-US" sz="1200" b="1">
                    <a:solidFill>
                      <a:schemeClr val="tx1"/>
                    </a:solidFill>
                    <a:latin typeface="Arial" pitchFamily="34" charset="0"/>
                    <a:cs typeface="Arial" pitchFamily="34" charset="0"/>
                  </a:rPr>
                  <a:t>COMP</a:t>
                </a:r>
                <a:r>
                  <a:rPr lang="en-US" sz="1200" b="1" baseline="0">
                    <a:solidFill>
                      <a:schemeClr val="tx1"/>
                    </a:solidFill>
                    <a:latin typeface="Arial" pitchFamily="34" charset="0"/>
                    <a:cs typeface="Arial" pitchFamily="34" charset="0"/>
                  </a:rPr>
                  <a:t> Voltage (V)</a:t>
                </a:r>
                <a:endParaRPr lang="en-US" sz="1200" b="1">
                  <a:solidFill>
                    <a:schemeClr val="tx1"/>
                  </a:solidFill>
                  <a:latin typeface="Arial" pitchFamily="34" charset="0"/>
                  <a:cs typeface="Arial" pitchFamily="34" charset="0"/>
                </a:endParaRPr>
              </a:p>
            </c:rich>
          </c:tx>
          <c:layout>
            <c:manualLayout>
              <c:xMode val="edge"/>
              <c:yMode val="edge"/>
              <c:x val="1.5939635452545176E-2"/>
              <c:y val="0.34603169988013316"/>
            </c:manualLayout>
          </c:layout>
          <c:overlay val="0"/>
          <c:spPr>
            <a:noFill/>
            <a:ln w="25400">
              <a:noFill/>
            </a:ln>
          </c:spPr>
        </c:title>
        <c:numFmt formatCode="#,##0.0" sourceLinked="0"/>
        <c:majorTickMark val="out"/>
        <c:minorTickMark val="in"/>
        <c:tickLblPos val="nextTo"/>
        <c:spPr>
          <a:ln w="3175">
            <a:solidFill>
              <a:srgbClr val="000000"/>
            </a:solidFill>
            <a:prstDash val="solid"/>
          </a:ln>
        </c:spPr>
        <c:txPr>
          <a:bodyPr rot="0" vert="horz"/>
          <a:lstStyle/>
          <a:p>
            <a:pPr>
              <a:defRPr sz="1100" b="1" i="0" u="none" strike="noStrike" baseline="0">
                <a:solidFill>
                  <a:schemeClr val="tx1"/>
                </a:solidFill>
                <a:latin typeface="Arial" pitchFamily="34" charset="0"/>
                <a:ea typeface="Calibri"/>
                <a:cs typeface="Arial" pitchFamily="34" charset="0"/>
              </a:defRPr>
            </a:pPr>
            <a:endParaRPr lang="en-US"/>
          </a:p>
        </c:txPr>
        <c:crossAx val="141478912"/>
        <c:crossesAt val="0"/>
        <c:crossBetween val="between"/>
        <c:majorUnit val="0.2"/>
        <c:minorUnit val="0.1"/>
      </c:valAx>
      <c:spPr>
        <a:solidFill>
          <a:srgbClr val="FFFFFF"/>
        </a:solidFill>
        <a:ln w="25400">
          <a:noFill/>
        </a:ln>
      </c:spPr>
    </c:plotArea>
    <c:legend>
      <c:legendPos val="t"/>
      <c:layout>
        <c:manualLayout>
          <c:xMode val="edge"/>
          <c:yMode val="edge"/>
          <c:x val="0.50279342989103104"/>
          <c:y val="1.6951025877806759E-2"/>
          <c:w val="0.44417947756530435"/>
          <c:h val="8.9795049320617604E-2"/>
        </c:manualLayout>
      </c:layout>
      <c:overlay val="0"/>
      <c:spPr>
        <a:solidFill>
          <a:srgbClr val="FFFFFF"/>
        </a:solidFill>
        <a:ln w="25400">
          <a:noFill/>
        </a:ln>
      </c:spPr>
      <c:txPr>
        <a:bodyPr/>
        <a:lstStyle/>
        <a:p>
          <a:pPr>
            <a:defRPr sz="14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rgbClr val="000000"/>
                </a:solidFill>
                <a:latin typeface="Arial" pitchFamily="34" charset="0"/>
                <a:ea typeface="Calibri"/>
                <a:cs typeface="Arial" pitchFamily="34" charset="0"/>
              </a:defRPr>
            </a:pPr>
            <a:r>
              <a:rPr lang="en-US" sz="1800" b="1" i="0" baseline="0">
                <a:effectLst/>
                <a:sym typeface="Symbol"/>
              </a:rPr>
              <a:t></a:t>
            </a:r>
            <a:r>
              <a:rPr lang="en-US" sz="1800" b="1" i="0" baseline="0">
                <a:effectLst/>
              </a:rPr>
              <a:t>, V</a:t>
            </a:r>
            <a:r>
              <a:rPr lang="en-US" sz="1800" b="1" i="0" baseline="-25000">
                <a:effectLst/>
              </a:rPr>
              <a:t>IN</a:t>
            </a:r>
            <a:r>
              <a:rPr lang="en-US" sz="1800" b="1" i="0" baseline="0">
                <a:effectLst/>
              </a:rPr>
              <a:t> = V</a:t>
            </a:r>
            <a:r>
              <a:rPr lang="en-US" sz="1800" b="1" i="0" baseline="-25000">
                <a:effectLst/>
              </a:rPr>
              <a:t>IN(nom)</a:t>
            </a:r>
            <a:endParaRPr lang="en-US">
              <a:effectLst/>
            </a:endParaRPr>
          </a:p>
        </c:rich>
      </c:tx>
      <c:layout>
        <c:manualLayout>
          <c:xMode val="edge"/>
          <c:yMode val="edge"/>
          <c:x val="8.2586704916618195E-2"/>
          <c:y val="1.8363289746112718E-2"/>
        </c:manualLayout>
      </c:layout>
      <c:overlay val="0"/>
      <c:spPr>
        <a:noFill/>
        <a:ln w="25400">
          <a:noFill/>
        </a:ln>
      </c:spPr>
    </c:title>
    <c:autoTitleDeleted val="0"/>
    <c:plotArea>
      <c:layout>
        <c:manualLayout>
          <c:layoutTarget val="inner"/>
          <c:xMode val="edge"/>
          <c:yMode val="edge"/>
          <c:x val="7.6761884085804283E-2"/>
          <c:y val="0.12133523343001466"/>
          <c:w val="0.82579990228506128"/>
          <c:h val="0.7558980268938309"/>
        </c:manualLayout>
      </c:layout>
      <c:lineChart>
        <c:grouping val="standard"/>
        <c:varyColors val="0"/>
        <c:ser>
          <c:idx val="0"/>
          <c:order val="0"/>
          <c:tx>
            <c:v>Efficiency</c:v>
          </c:tx>
          <c:spPr>
            <a:ln w="38100">
              <a:solidFill>
                <a:srgbClr val="FF0000"/>
              </a:solidFill>
              <a:prstDash val="solid"/>
            </a:ln>
          </c:spPr>
          <c:marker>
            <c:symbol val="none"/>
          </c:marker>
          <c:cat>
            <c:numRef>
              <c:f>'Calculations - Dual'!$CC$5:$CC$105</c:f>
              <c:numCache>
                <c:formatCode>General</c:formatCode>
                <c:ptCount val="101"/>
                <c:pt idx="0">
                  <c:v>0</c:v>
                </c:pt>
                <c:pt idx="1">
                  <c:v>1</c:v>
                </c:pt>
                <c:pt idx="2">
                  <c:v>2</c:v>
                </c:pt>
                <c:pt idx="3">
                  <c:v>3</c:v>
                </c:pt>
                <c:pt idx="4">
                  <c:v>4</c:v>
                </c:pt>
                <c:pt idx="5">
                  <c:v>5.0000000000000009</c:v>
                </c:pt>
                <c:pt idx="6">
                  <c:v>6</c:v>
                </c:pt>
                <c:pt idx="7">
                  <c:v>7.0000000000000009</c:v>
                </c:pt>
                <c:pt idx="8">
                  <c:v>8</c:v>
                </c:pt>
                <c:pt idx="9">
                  <c:v>8.9999999999999982</c:v>
                </c:pt>
                <c:pt idx="10">
                  <c:v>10.000000000000002</c:v>
                </c:pt>
                <c:pt idx="11">
                  <c:v>11</c:v>
                </c:pt>
                <c:pt idx="12">
                  <c:v>12</c:v>
                </c:pt>
                <c:pt idx="13">
                  <c:v>13</c:v>
                </c:pt>
                <c:pt idx="14">
                  <c:v>14.000000000000002</c:v>
                </c:pt>
                <c:pt idx="15">
                  <c:v>15</c:v>
                </c:pt>
                <c:pt idx="16">
                  <c:v>16</c:v>
                </c:pt>
                <c:pt idx="17">
                  <c:v>17</c:v>
                </c:pt>
                <c:pt idx="18">
                  <c:v>17.999999999999996</c:v>
                </c:pt>
                <c:pt idx="19">
                  <c:v>19.000000000000004</c:v>
                </c:pt>
                <c:pt idx="20">
                  <c:v>20.000000000000004</c:v>
                </c:pt>
                <c:pt idx="21">
                  <c:v>21</c:v>
                </c:pt>
                <c:pt idx="22">
                  <c:v>22</c:v>
                </c:pt>
                <c:pt idx="23">
                  <c:v>23</c:v>
                </c:pt>
                <c:pt idx="24">
                  <c:v>24</c:v>
                </c:pt>
                <c:pt idx="25">
                  <c:v>25</c:v>
                </c:pt>
                <c:pt idx="26">
                  <c:v>26</c:v>
                </c:pt>
                <c:pt idx="27">
                  <c:v>27</c:v>
                </c:pt>
                <c:pt idx="28">
                  <c:v>28.000000000000004</c:v>
                </c:pt>
                <c:pt idx="29">
                  <c:v>28.999999999999996</c:v>
                </c:pt>
                <c:pt idx="30">
                  <c:v>30</c:v>
                </c:pt>
                <c:pt idx="31">
                  <c:v>31</c:v>
                </c:pt>
                <c:pt idx="32">
                  <c:v>32</c:v>
                </c:pt>
                <c:pt idx="33">
                  <c:v>33</c:v>
                </c:pt>
                <c:pt idx="34">
                  <c:v>34</c:v>
                </c:pt>
                <c:pt idx="35">
                  <c:v>34.999999999999993</c:v>
                </c:pt>
                <c:pt idx="36">
                  <c:v>35.999999999999993</c:v>
                </c:pt>
                <c:pt idx="37">
                  <c:v>36.999999999999993</c:v>
                </c:pt>
                <c:pt idx="38">
                  <c:v>38.000000000000007</c:v>
                </c:pt>
                <c:pt idx="39">
                  <c:v>39.000000000000007</c:v>
                </c:pt>
                <c:pt idx="40">
                  <c:v>40.000000000000007</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55.000000000000007</c:v>
                </c:pt>
                <c:pt idx="56">
                  <c:v>56.000000000000007</c:v>
                </c:pt>
                <c:pt idx="57">
                  <c:v>56.999999999999993</c:v>
                </c:pt>
                <c:pt idx="58">
                  <c:v>57.999999999999993</c:v>
                </c:pt>
                <c:pt idx="59">
                  <c:v>59</c:v>
                </c:pt>
                <c:pt idx="60">
                  <c:v>60</c:v>
                </c:pt>
                <c:pt idx="61">
                  <c:v>61</c:v>
                </c:pt>
                <c:pt idx="62">
                  <c:v>62</c:v>
                </c:pt>
                <c:pt idx="63">
                  <c:v>63</c:v>
                </c:pt>
                <c:pt idx="64">
                  <c:v>64</c:v>
                </c:pt>
                <c:pt idx="65">
                  <c:v>65</c:v>
                </c:pt>
                <c:pt idx="66">
                  <c:v>66</c:v>
                </c:pt>
                <c:pt idx="67">
                  <c:v>67</c:v>
                </c:pt>
                <c:pt idx="68">
                  <c:v>68</c:v>
                </c:pt>
                <c:pt idx="69">
                  <c:v>68.999999999999986</c:v>
                </c:pt>
                <c:pt idx="70">
                  <c:v>69.999999999999986</c:v>
                </c:pt>
                <c:pt idx="71">
                  <c:v>70.999999999999986</c:v>
                </c:pt>
                <c:pt idx="72">
                  <c:v>71.999999999999986</c:v>
                </c:pt>
                <c:pt idx="73">
                  <c:v>72.999999999999986</c:v>
                </c:pt>
                <c:pt idx="74">
                  <c:v>73.999999999999986</c:v>
                </c:pt>
                <c:pt idx="75">
                  <c:v>75.000000000000014</c:v>
                </c:pt>
                <c:pt idx="76">
                  <c:v>76.000000000000014</c:v>
                </c:pt>
                <c:pt idx="77">
                  <c:v>77.000000000000014</c:v>
                </c:pt>
                <c:pt idx="78">
                  <c:v>78.000000000000014</c:v>
                </c:pt>
                <c:pt idx="79">
                  <c:v>79.000000000000014</c:v>
                </c:pt>
                <c:pt idx="80">
                  <c:v>80.000000000000014</c:v>
                </c:pt>
                <c:pt idx="81">
                  <c:v>81.000000000000014</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'Calculations - Dual'!$CB$5:$CB$105</c:f>
              <c:numCache>
                <c:formatCode>0.00</c:formatCode>
                <c:ptCount val="101"/>
                <c:pt idx="0">
                  <c:v>1.2698163106390992E-4</c:v>
                </c:pt>
                <c:pt idx="1">
                  <c:v>81.744784521518667</c:v>
                </c:pt>
                <c:pt idx="2">
                  <c:v>85.206597087666509</c:v>
                </c:pt>
                <c:pt idx="3">
                  <c:v>86.426625082982667</c:v>
                </c:pt>
                <c:pt idx="4">
                  <c:v>87.049835254661488</c:v>
                </c:pt>
                <c:pt idx="5">
                  <c:v>87.428094229104317</c:v>
                </c:pt>
                <c:pt idx="6">
                  <c:v>87.299775596795911</c:v>
                </c:pt>
                <c:pt idx="7">
                  <c:v>87.005666703106883</c:v>
                </c:pt>
                <c:pt idx="8">
                  <c:v>86.710431334729449</c:v>
                </c:pt>
                <c:pt idx="9">
                  <c:v>86.94734763457231</c:v>
                </c:pt>
                <c:pt idx="10">
                  <c:v>87.458860337197535</c:v>
                </c:pt>
                <c:pt idx="11">
                  <c:v>87.884722891207375</c:v>
                </c:pt>
                <c:pt idx="12">
                  <c:v>88.244842170753458</c:v>
                </c:pt>
                <c:pt idx="13">
                  <c:v>88.553356410786421</c:v>
                </c:pt>
                <c:pt idx="14">
                  <c:v>88.820592333363876</c:v>
                </c:pt>
                <c:pt idx="15">
                  <c:v>89.054274025213317</c:v>
                </c:pt>
                <c:pt idx="16">
                  <c:v>89.260297907570163</c:v>
                </c:pt>
                <c:pt idx="17">
                  <c:v>89.443245577002244</c:v>
                </c:pt>
                <c:pt idx="18">
                  <c:v>89.606732635295302</c:v>
                </c:pt>
                <c:pt idx="19">
                  <c:v>89.753651726769917</c:v>
                </c:pt>
                <c:pt idx="20">
                  <c:v>89.886345490304336</c:v>
                </c:pt>
                <c:pt idx="21">
                  <c:v>90.00673197324582</c:v>
                </c:pt>
                <c:pt idx="22">
                  <c:v>90.11639711634777</c:v>
                </c:pt>
                <c:pt idx="23">
                  <c:v>90.21666399581342</c:v>
                </c:pt>
                <c:pt idx="24">
                  <c:v>90.308645378527814</c:v>
                </c:pt>
                <c:pt idx="25">
                  <c:v>90.393284111585388</c:v>
                </c:pt>
                <c:pt idx="26">
                  <c:v>90.471384517156409</c:v>
                </c:pt>
                <c:pt idx="27">
                  <c:v>90.543637051448684</c:v>
                </c:pt>
                <c:pt idx="28">
                  <c:v>90.610637859617356</c:v>
                </c:pt>
                <c:pt idx="29">
                  <c:v>90.672904421000638</c:v>
                </c:pt>
                <c:pt idx="30">
                  <c:v>90.730888169417184</c:v>
                </c:pt>
                <c:pt idx="31">
                  <c:v>90.78498475121043</c:v>
                </c:pt>
                <c:pt idx="32">
                  <c:v>90.83554242254867</c:v>
                </c:pt>
                <c:pt idx="33">
                  <c:v>90.882868969171341</c:v>
                </c:pt>
                <c:pt idx="34">
                  <c:v>90.92723744400088</c:v>
                </c:pt>
                <c:pt idx="35">
                  <c:v>90.968890952286898</c:v>
                </c:pt>
                <c:pt idx="36">
                  <c:v>91.008046664238663</c:v>
                </c:pt>
                <c:pt idx="37">
                  <c:v>91.0448991971938</c:v>
                </c:pt>
                <c:pt idx="38">
                  <c:v>91.079623480228392</c:v>
                </c:pt>
                <c:pt idx="39">
                  <c:v>91.112377191539665</c:v>
                </c:pt>
                <c:pt idx="40">
                  <c:v>91.14330284131826</c:v>
                </c:pt>
                <c:pt idx="41">
                  <c:v>91.172529558991698</c:v>
                </c:pt>
                <c:pt idx="42">
                  <c:v>91.200174632781369</c:v>
                </c:pt>
                <c:pt idx="43">
                  <c:v>91.226344840814448</c:v>
                </c:pt>
                <c:pt idx="44">
                  <c:v>91.251137606070628</c:v>
                </c:pt>
                <c:pt idx="45">
                  <c:v>91.274642001843091</c:v>
                </c:pt>
                <c:pt idx="46">
                  <c:v>91.29693962986525</c:v>
                </c:pt>
                <c:pt idx="47">
                  <c:v>91.318105389572949</c:v>
                </c:pt>
                <c:pt idx="48">
                  <c:v>91.338208153967486</c:v>
                </c:pt>
                <c:pt idx="49">
                  <c:v>91.357311365078303</c:v>
                </c:pt>
                <c:pt idx="50">
                  <c:v>91.375473559993509</c:v>
                </c:pt>
                <c:pt idx="51">
                  <c:v>91.392748836745767</c:v>
                </c:pt>
                <c:pt idx="52">
                  <c:v>91.463944082690176</c:v>
                </c:pt>
                <c:pt idx="53">
                  <c:v>91.550922220597471</c:v>
                </c:pt>
                <c:pt idx="54">
                  <c:v>91.634144753690677</c:v>
                </c:pt>
                <c:pt idx="55">
                  <c:v>91.713841770010234</c:v>
                </c:pt>
                <c:pt idx="56">
                  <c:v>91.790225426569279</c:v>
                </c:pt>
                <c:pt idx="57">
                  <c:v>91.863491628031738</c:v>
                </c:pt>
                <c:pt idx="58">
                  <c:v>91.933821523231657</c:v>
                </c:pt>
                <c:pt idx="59">
                  <c:v>92.001382841888329</c:v>
                </c:pt>
                <c:pt idx="60">
                  <c:v>92.066331090823923</c:v>
                </c:pt>
                <c:pt idx="61">
                  <c:v>92.12881062639913</c:v>
                </c:pt>
                <c:pt idx="62">
                  <c:v>92.188955617671454</c:v>
                </c:pt>
                <c:pt idx="63">
                  <c:v>92.246890912890805</c:v>
                </c:pt>
                <c:pt idx="64">
                  <c:v>92.302732820326938</c:v>
                </c:pt>
                <c:pt idx="65">
                  <c:v>92.356589813031476</c:v>
                </c:pt>
                <c:pt idx="66">
                  <c:v>92.408563165939313</c:v>
                </c:pt>
                <c:pt idx="67">
                  <c:v>92.458747532679581</c:v>
                </c:pt>
                <c:pt idx="68">
                  <c:v>92.507231468571703</c:v>
                </c:pt>
                <c:pt idx="69">
                  <c:v>92.554097905507987</c:v>
                </c:pt>
                <c:pt idx="70">
                  <c:v>92.599424583749339</c:v>
                </c:pt>
                <c:pt idx="71">
                  <c:v>92.643284445076546</c:v>
                </c:pt>
                <c:pt idx="72">
                  <c:v>92.685745991227407</c:v>
                </c:pt>
                <c:pt idx="73">
                  <c:v>92.726873611105006</c:v>
                </c:pt>
                <c:pt idx="74">
                  <c:v>92.766727879851004</c:v>
                </c:pt>
                <c:pt idx="75">
                  <c:v>92.805365832536239</c:v>
                </c:pt>
                <c:pt idx="76">
                  <c:v>92.842841214919787</c:v>
                </c:pt>
                <c:pt idx="77">
                  <c:v>92.879204713463849</c:v>
                </c:pt>
                <c:pt idx="78">
                  <c:v>92.914504166557776</c:v>
                </c:pt>
                <c:pt idx="79">
                  <c:v>92.9487847587</c:v>
                </c:pt>
                <c:pt idx="80">
                  <c:v>92.982089199203827</c:v>
                </c:pt>
                <c:pt idx="81">
                  <c:v>93.002677271441542</c:v>
                </c:pt>
                <c:pt idx="82">
                  <c:v>93.020333228324532</c:v>
                </c:pt>
                <c:pt idx="83">
                  <c:v>93.037636996410939</c:v>
                </c:pt>
                <c:pt idx="84">
                  <c:v>93.05459981669172</c:v>
                </c:pt>
                <c:pt idx="85">
                  <c:v>93.071232439089229</c:v>
                </c:pt>
                <c:pt idx="86">
                  <c:v>91.250776712855128</c:v>
                </c:pt>
                <c:pt idx="87">
                  <c:v>91.331184303897444</c:v>
                </c:pt>
                <c:pt idx="88">
                  <c:v>91.409644335173709</c:v>
                </c:pt>
                <c:pt idx="89">
                  <c:v>91.486221750041935</c:v>
                </c:pt>
                <c:pt idx="90">
                  <c:v>91.560978744070056</c:v>
                </c:pt>
                <c:pt idx="91">
                  <c:v>91.633974905700327</c:v>
                </c:pt>
                <c:pt idx="92">
                  <c:v>91.705267348473569</c:v>
                </c:pt>
                <c:pt idx="93">
                  <c:v>91.774910835393371</c:v>
                </c:pt>
                <c:pt idx="94">
                  <c:v>91.842957895965469</c:v>
                </c:pt>
                <c:pt idx="95">
                  <c:v>91.909458936406722</c:v>
                </c:pt>
                <c:pt idx="96">
                  <c:v>91.974462343479928</c:v>
                </c:pt>
                <c:pt idx="97">
                  <c:v>92.038014582377301</c:v>
                </c:pt>
                <c:pt idx="98">
                  <c:v>92.100160289042947</c:v>
                </c:pt>
                <c:pt idx="99">
                  <c:v>92.160942357296534</c:v>
                </c:pt>
                <c:pt idx="100">
                  <c:v>92.180693248958988</c:v>
                </c:pt>
              </c:numCache>
            </c:numRef>
          </c:val>
          <c:smooth val="0"/>
        </c:ser>
        <c:dLbls>
          <c:showLegendKey val="0"/>
          <c:showVal val="0"/>
          <c:showCatName val="0"/>
          <c:showSerName val="0"/>
          <c:showPercent val="0"/>
          <c:showBubbleSize val="0"/>
        </c:dLbls>
        <c:marker val="1"/>
        <c:smooth val="0"/>
        <c:axId val="141607680"/>
        <c:axId val="141609600"/>
      </c:lineChart>
      <c:lineChart>
        <c:grouping val="standard"/>
        <c:varyColors val="0"/>
        <c:ser>
          <c:idx val="2"/>
          <c:order val="1"/>
          <c:tx>
            <c:strRef>
              <c:f>'Calculations - Dual'!$BN$3</c:f>
              <c:strCache>
                <c:ptCount val="1"/>
                <c:pt idx="0">
                  <c:v>Flyback Diode Loss</c:v>
                </c:pt>
              </c:strCache>
            </c:strRef>
          </c:tx>
          <c:spPr>
            <a:ln w="38100">
              <a:solidFill>
                <a:srgbClr val="808000"/>
              </a:solidFill>
              <a:prstDash val="sys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Dual'!$BR$5:$BR$105</c:f>
              <c:numCache>
                <c:formatCode>0.0</c:formatCode>
                <c:ptCount val="101"/>
                <c:pt idx="0">
                  <c:v>8.0000000000000018E-7</c:v>
                </c:pt>
                <c:pt idx="1">
                  <c:v>5.2</c:v>
                </c:pt>
                <c:pt idx="2">
                  <c:v>10.4</c:v>
                </c:pt>
                <c:pt idx="3">
                  <c:v>15.600000000000001</c:v>
                </c:pt>
                <c:pt idx="4">
                  <c:v>20.8</c:v>
                </c:pt>
                <c:pt idx="5">
                  <c:v>26.000000000000007</c:v>
                </c:pt>
                <c:pt idx="6">
                  <c:v>31.200000000000003</c:v>
                </c:pt>
                <c:pt idx="7">
                  <c:v>36.4</c:v>
                </c:pt>
                <c:pt idx="8">
                  <c:v>41.6</c:v>
                </c:pt>
                <c:pt idx="9">
                  <c:v>46.8</c:v>
                </c:pt>
                <c:pt idx="10">
                  <c:v>52.000000000000014</c:v>
                </c:pt>
                <c:pt idx="11">
                  <c:v>57.2</c:v>
                </c:pt>
                <c:pt idx="12">
                  <c:v>62.400000000000006</c:v>
                </c:pt>
                <c:pt idx="13">
                  <c:v>67.600000000000009</c:v>
                </c:pt>
                <c:pt idx="14">
                  <c:v>72.8</c:v>
                </c:pt>
                <c:pt idx="15">
                  <c:v>78</c:v>
                </c:pt>
                <c:pt idx="16">
                  <c:v>83.2</c:v>
                </c:pt>
                <c:pt idx="17">
                  <c:v>88.4</c:v>
                </c:pt>
                <c:pt idx="18">
                  <c:v>93.6</c:v>
                </c:pt>
                <c:pt idx="19">
                  <c:v>98.800000000000026</c:v>
                </c:pt>
                <c:pt idx="20">
                  <c:v>104.00000000000003</c:v>
                </c:pt>
                <c:pt idx="21">
                  <c:v>109.20000000000002</c:v>
                </c:pt>
                <c:pt idx="22">
                  <c:v>114.4</c:v>
                </c:pt>
                <c:pt idx="23">
                  <c:v>119.60000000000001</c:v>
                </c:pt>
                <c:pt idx="24">
                  <c:v>124.80000000000001</c:v>
                </c:pt>
                <c:pt idx="25">
                  <c:v>130</c:v>
                </c:pt>
                <c:pt idx="26">
                  <c:v>135.20000000000002</c:v>
                </c:pt>
                <c:pt idx="27">
                  <c:v>140.40000000000003</c:v>
                </c:pt>
                <c:pt idx="28">
                  <c:v>145.6</c:v>
                </c:pt>
                <c:pt idx="29">
                  <c:v>150.79999999999998</c:v>
                </c:pt>
                <c:pt idx="30">
                  <c:v>156</c:v>
                </c:pt>
                <c:pt idx="31">
                  <c:v>161.20000000000002</c:v>
                </c:pt>
                <c:pt idx="32">
                  <c:v>166.4</c:v>
                </c:pt>
                <c:pt idx="33">
                  <c:v>171.60000000000002</c:v>
                </c:pt>
                <c:pt idx="34">
                  <c:v>176.8</c:v>
                </c:pt>
                <c:pt idx="35">
                  <c:v>182</c:v>
                </c:pt>
                <c:pt idx="36">
                  <c:v>187.2</c:v>
                </c:pt>
                <c:pt idx="37">
                  <c:v>192.4</c:v>
                </c:pt>
                <c:pt idx="38">
                  <c:v>197.60000000000005</c:v>
                </c:pt>
                <c:pt idx="39">
                  <c:v>202.80000000000004</c:v>
                </c:pt>
                <c:pt idx="40">
                  <c:v>208.00000000000006</c:v>
                </c:pt>
                <c:pt idx="41">
                  <c:v>213.2</c:v>
                </c:pt>
                <c:pt idx="42">
                  <c:v>218.40000000000003</c:v>
                </c:pt>
                <c:pt idx="43">
                  <c:v>223.60000000000002</c:v>
                </c:pt>
                <c:pt idx="44">
                  <c:v>228.8</c:v>
                </c:pt>
                <c:pt idx="45">
                  <c:v>234.00000000000003</c:v>
                </c:pt>
                <c:pt idx="46">
                  <c:v>239.20000000000002</c:v>
                </c:pt>
                <c:pt idx="47">
                  <c:v>244.4</c:v>
                </c:pt>
                <c:pt idx="48">
                  <c:v>249.60000000000002</c:v>
                </c:pt>
                <c:pt idx="49">
                  <c:v>254.80000000000004</c:v>
                </c:pt>
                <c:pt idx="50">
                  <c:v>260</c:v>
                </c:pt>
                <c:pt idx="51">
                  <c:v>265.2</c:v>
                </c:pt>
                <c:pt idx="52">
                  <c:v>270.40000000000003</c:v>
                </c:pt>
                <c:pt idx="53">
                  <c:v>275.60000000000008</c:v>
                </c:pt>
                <c:pt idx="54">
                  <c:v>280.80000000000007</c:v>
                </c:pt>
                <c:pt idx="55">
                  <c:v>286.00000000000006</c:v>
                </c:pt>
                <c:pt idx="56">
                  <c:v>291.2</c:v>
                </c:pt>
                <c:pt idx="57">
                  <c:v>296.39999999999998</c:v>
                </c:pt>
                <c:pt idx="58">
                  <c:v>301.59999999999997</c:v>
                </c:pt>
                <c:pt idx="59">
                  <c:v>306.79999999999995</c:v>
                </c:pt>
                <c:pt idx="60">
                  <c:v>312</c:v>
                </c:pt>
                <c:pt idx="61">
                  <c:v>317.20000000000005</c:v>
                </c:pt>
                <c:pt idx="62">
                  <c:v>322.40000000000003</c:v>
                </c:pt>
                <c:pt idx="63">
                  <c:v>327.60000000000002</c:v>
                </c:pt>
                <c:pt idx="64">
                  <c:v>332.8</c:v>
                </c:pt>
                <c:pt idx="65">
                  <c:v>338</c:v>
                </c:pt>
                <c:pt idx="66">
                  <c:v>343.20000000000005</c:v>
                </c:pt>
                <c:pt idx="67">
                  <c:v>348.40000000000003</c:v>
                </c:pt>
                <c:pt idx="68">
                  <c:v>353.6</c:v>
                </c:pt>
                <c:pt idx="69">
                  <c:v>358.8</c:v>
                </c:pt>
                <c:pt idx="70">
                  <c:v>364</c:v>
                </c:pt>
                <c:pt idx="71">
                  <c:v>369.2</c:v>
                </c:pt>
                <c:pt idx="72">
                  <c:v>374.4</c:v>
                </c:pt>
                <c:pt idx="73">
                  <c:v>379.59999999999997</c:v>
                </c:pt>
                <c:pt idx="74">
                  <c:v>384.8</c:v>
                </c:pt>
                <c:pt idx="75">
                  <c:v>390.00000000000006</c:v>
                </c:pt>
                <c:pt idx="76">
                  <c:v>395.2000000000001</c:v>
                </c:pt>
                <c:pt idx="77">
                  <c:v>400.40000000000009</c:v>
                </c:pt>
                <c:pt idx="78">
                  <c:v>405.60000000000008</c:v>
                </c:pt>
                <c:pt idx="79">
                  <c:v>410.80000000000013</c:v>
                </c:pt>
                <c:pt idx="80">
                  <c:v>416.00000000000011</c:v>
                </c:pt>
                <c:pt idx="81">
                  <c:v>421.2000000000001</c:v>
                </c:pt>
                <c:pt idx="82">
                  <c:v>426.4</c:v>
                </c:pt>
                <c:pt idx="83">
                  <c:v>431.59999999999997</c:v>
                </c:pt>
                <c:pt idx="84">
                  <c:v>436.80000000000007</c:v>
                </c:pt>
                <c:pt idx="85">
                  <c:v>442.00000000000006</c:v>
                </c:pt>
                <c:pt idx="86">
                  <c:v>447.20000000000005</c:v>
                </c:pt>
                <c:pt idx="87">
                  <c:v>452.40000000000003</c:v>
                </c:pt>
                <c:pt idx="88">
                  <c:v>457.6</c:v>
                </c:pt>
                <c:pt idx="89">
                  <c:v>462.80000000000013</c:v>
                </c:pt>
                <c:pt idx="90">
                  <c:v>468.00000000000006</c:v>
                </c:pt>
                <c:pt idx="91">
                  <c:v>473.20000000000005</c:v>
                </c:pt>
                <c:pt idx="92">
                  <c:v>478.40000000000003</c:v>
                </c:pt>
                <c:pt idx="93">
                  <c:v>483.6</c:v>
                </c:pt>
                <c:pt idx="94">
                  <c:v>488.8</c:v>
                </c:pt>
                <c:pt idx="95">
                  <c:v>494.00000000000006</c:v>
                </c:pt>
                <c:pt idx="96">
                  <c:v>499.20000000000005</c:v>
                </c:pt>
                <c:pt idx="97">
                  <c:v>504.4</c:v>
                </c:pt>
                <c:pt idx="98">
                  <c:v>509.60000000000008</c:v>
                </c:pt>
                <c:pt idx="99">
                  <c:v>514.80000000000007</c:v>
                </c:pt>
                <c:pt idx="100">
                  <c:v>520</c:v>
                </c:pt>
              </c:numCache>
            </c:numRef>
          </c:val>
          <c:smooth val="0"/>
        </c:ser>
        <c:ser>
          <c:idx val="3"/>
          <c:order val="2"/>
          <c:tx>
            <c:strRef>
              <c:f>'Calculations - Dual'!$BH$3</c:f>
              <c:strCache>
                <c:ptCount val="1"/>
                <c:pt idx="0">
                  <c:v>IC Loss</c:v>
                </c:pt>
              </c:strCache>
            </c:strRef>
          </c:tx>
          <c:spPr>
            <a:ln w="38100">
              <a:solidFill>
                <a:srgbClr val="800080"/>
              </a:solidFill>
              <a:prstDash val="dash"/>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Dual'!$BM$5:$BM$105</c:f>
              <c:numCache>
                <c:formatCode>0.0</c:formatCode>
                <c:ptCount val="101"/>
                <c:pt idx="0">
                  <c:v>7.067468615123456</c:v>
                </c:pt>
                <c:pt idx="1">
                  <c:v>17.042471924963831</c:v>
                </c:pt>
                <c:pt idx="2">
                  <c:v>30.169943849927662</c:v>
                </c:pt>
                <c:pt idx="3">
                  <c:v>43.297415774891505</c:v>
                </c:pt>
                <c:pt idx="4">
                  <c:v>56.424887699855326</c:v>
                </c:pt>
                <c:pt idx="5">
                  <c:v>69.552359624819161</c:v>
                </c:pt>
                <c:pt idx="6">
                  <c:v>84.97425055305149</c:v>
                </c:pt>
                <c:pt idx="7">
                  <c:v>102.07552249014216</c:v>
                </c:pt>
                <c:pt idx="8">
                  <c:v>120.07666154962349</c:v>
                </c:pt>
                <c:pt idx="9">
                  <c:v>130.03867022424791</c:v>
                </c:pt>
                <c:pt idx="10">
                  <c:v>134.04617900644624</c:v>
                </c:pt>
                <c:pt idx="11">
                  <c:v>137.99792416276497</c:v>
                </c:pt>
                <c:pt idx="12">
                  <c:v>141.90760775636488</c:v>
                </c:pt>
                <c:pt idx="13">
                  <c:v>145.785870009993</c:v>
                </c:pt>
                <c:pt idx="14">
                  <c:v>149.64113033729842</c:v>
                </c:pt>
                <c:pt idx="15">
                  <c:v>153.48015653118446</c:v>
                </c:pt>
                <c:pt idx="16">
                  <c:v>157.3084617749368</c:v>
                </c:pt>
                <c:pt idx="17">
                  <c:v>161.13058875911491</c:v>
                </c:pt>
                <c:pt idx="18">
                  <c:v>164.95031755270617</c:v>
                </c:pt>
                <c:pt idx="19">
                  <c:v>168.77082064580628</c:v>
                </c:pt>
                <c:pt idx="20">
                  <c:v>172.59478056190704</c:v>
                </c:pt>
                <c:pt idx="21">
                  <c:v>176.42448042235199</c:v>
                </c:pt>
                <c:pt idx="22">
                  <c:v>180.26187462076771</c:v>
                </c:pt>
                <c:pt idx="23">
                  <c:v>184.10864464056922</c:v>
                </c:pt>
                <c:pt idx="24">
                  <c:v>187.96624361783799</c:v>
                </c:pt>
                <c:pt idx="25">
                  <c:v>191.83593226928818</c:v>
                </c:pt>
                <c:pt idx="26">
                  <c:v>195.71880811822064</c:v>
                </c:pt>
                <c:pt idx="27">
                  <c:v>199.61582946350907</c:v>
                </c:pt>
                <c:pt idx="28">
                  <c:v>203.52783518502574</c:v>
                </c:pt>
                <c:pt idx="29">
                  <c:v>207.45556122203283</c:v>
                </c:pt>
                <c:pt idx="30">
                  <c:v>211.39965437108606</c:v>
                </c:pt>
                <c:pt idx="31">
                  <c:v>215.36068390788233</c:v>
                </c:pt>
                <c:pt idx="32">
                  <c:v>219.33915143005487</c:v>
                </c:pt>
                <c:pt idx="33">
                  <c:v>223.33549923591082</c:v>
                </c:pt>
                <c:pt idx="34">
                  <c:v>227.35011749093474</c:v>
                </c:pt>
                <c:pt idx="35">
                  <c:v>231.38335038480216</c:v>
                </c:pt>
                <c:pt idx="36">
                  <c:v>235.43550144321765</c:v>
                </c:pt>
                <c:pt idx="37">
                  <c:v>239.50683812857329</c:v>
                </c:pt>
                <c:pt idx="38">
                  <c:v>243.59759583933524</c:v>
                </c:pt>
                <c:pt idx="39">
                  <c:v>247.70798139880952</c:v>
                </c:pt>
                <c:pt idx="40">
                  <c:v>251.8381761084384</c:v>
                </c:pt>
                <c:pt idx="41">
                  <c:v>255.98833842823609</c:v>
                </c:pt>
                <c:pt idx="42">
                  <c:v>260.15860633676726</c:v>
                </c:pt>
                <c:pt idx="43">
                  <c:v>264.34909941471943</c:v>
                </c:pt>
                <c:pt idx="44">
                  <c:v>268.55992068925627</c:v>
                </c:pt>
                <c:pt idx="45">
                  <c:v>272.79115827066744</c:v>
                </c:pt>
                <c:pt idx="46">
                  <c:v>277.0428868081255</c:v>
                </c:pt>
                <c:pt idx="47">
                  <c:v>281.31516878743844</c:v>
                </c:pt>
                <c:pt idx="48">
                  <c:v>285.60805569040724</c:v>
                </c:pt>
                <c:pt idx="49">
                  <c:v>289.92158903264101</c:v>
                </c:pt>
                <c:pt idx="50">
                  <c:v>294.25580129435792</c:v>
                </c:pt>
                <c:pt idx="51">
                  <c:v>298.61071675674032</c:v>
                </c:pt>
                <c:pt idx="52">
                  <c:v>298.73683523181865</c:v>
                </c:pt>
                <c:pt idx="53">
                  <c:v>297.42628490830776</c:v>
                </c:pt>
                <c:pt idx="54">
                  <c:v>296.18395587604834</c:v>
                </c:pt>
                <c:pt idx="55">
                  <c:v>295.00612540093783</c:v>
                </c:pt>
                <c:pt idx="56">
                  <c:v>293.88933199161471</c:v>
                </c:pt>
                <c:pt idx="57">
                  <c:v>292.83035289290439</c:v>
                </c:pt>
                <c:pt idx="58">
                  <c:v>291.82618387056306</c:v>
                </c:pt>
                <c:pt idx="59">
                  <c:v>290.87402101921407</c:v>
                </c:pt>
                <c:pt idx="60">
                  <c:v>289.97124436070004</c:v>
                </c:pt>
                <c:pt idx="61">
                  <c:v>289.11540303022412</c:v>
                </c:pt>
                <c:pt idx="62">
                  <c:v>288.30420187349694</c:v>
                </c:pt>
                <c:pt idx="63">
                  <c:v>287.5354893002725</c:v>
                </c:pt>
                <c:pt idx="64">
                  <c:v>286.80724625875825</c:v>
                </c:pt>
                <c:pt idx="65">
                  <c:v>286.11757621185779</c:v>
                </c:pt>
                <c:pt idx="66">
                  <c:v>285.46469601045925</c:v>
                </c:pt>
                <c:pt idx="67">
                  <c:v>284.84692757134349</c:v>
                </c:pt>
                <c:pt idx="68">
                  <c:v>284.26269027802721</c:v>
                </c:pt>
                <c:pt idx="69">
                  <c:v>283.71049403221201</c:v>
                </c:pt>
                <c:pt idx="70">
                  <c:v>283.18893289167369</c:v>
                </c:pt>
                <c:pt idx="71">
                  <c:v>282.69667923757419</c:v>
                </c:pt>
                <c:pt idx="72">
                  <c:v>282.23247842042633</c:v>
                </c:pt>
                <c:pt idx="73">
                  <c:v>281.79514383944945</c:v>
                </c:pt>
                <c:pt idx="74">
                  <c:v>281.38355241487716</c:v>
                </c:pt>
                <c:pt idx="75">
                  <c:v>280.99664041704568</c:v>
                </c:pt>
                <c:pt idx="76">
                  <c:v>280.63339961985082</c:v>
                </c:pt>
                <c:pt idx="77">
                  <c:v>280.29287374948456</c:v>
                </c:pt>
                <c:pt idx="78">
                  <c:v>279.97415520231647</c:v>
                </c:pt>
                <c:pt idx="79">
                  <c:v>279.67638200839178</c:v>
                </c:pt>
                <c:pt idx="80">
                  <c:v>279.39873501934721</c:v>
                </c:pt>
                <c:pt idx="81">
                  <c:v>280.50908315390575</c:v>
                </c:pt>
                <c:pt idx="82">
                  <c:v>281.90979525765647</c:v>
                </c:pt>
                <c:pt idx="83">
                  <c:v>283.30611583015451</c:v>
                </c:pt>
                <c:pt idx="84">
                  <c:v>284.69810621757534</c:v>
                </c:pt>
                <c:pt idx="85">
                  <c:v>286.0858260344462</c:v>
                </c:pt>
                <c:pt idx="86">
                  <c:v>443.46351530942138</c:v>
                </c:pt>
                <c:pt idx="87">
                  <c:v>440.77434911130092</c:v>
                </c:pt>
                <c:pt idx="88">
                  <c:v>438.11922903372965</c:v>
                </c:pt>
                <c:pt idx="89">
                  <c:v>435.49751258376989</c:v>
                </c:pt>
                <c:pt idx="90">
                  <c:v>432.90857333362294</c:v>
                </c:pt>
                <c:pt idx="91">
                  <c:v>430.35180042162415</c:v>
                </c:pt>
                <c:pt idx="92">
                  <c:v>427.82659807172456</c:v>
                </c:pt>
                <c:pt idx="93">
                  <c:v>425.33238513066163</c:v>
                </c:pt>
                <c:pt idx="94">
                  <c:v>422.86859462206678</c:v>
                </c:pt>
                <c:pt idx="95">
                  <c:v>420.4346733167888</c:v>
                </c:pt>
                <c:pt idx="96">
                  <c:v>418.0300813187518</c:v>
                </c:pt>
                <c:pt idx="97">
                  <c:v>415.65429166569436</c:v>
                </c:pt>
                <c:pt idx="98">
                  <c:v>413.3067899441694</c:v>
                </c:pt>
                <c:pt idx="99">
                  <c:v>410.98707391821739</c:v>
                </c:pt>
                <c:pt idx="100">
                  <c:v>408.69465317114373</c:v>
                </c:pt>
              </c:numCache>
            </c:numRef>
          </c:val>
          <c:smooth val="0"/>
        </c:ser>
        <c:ser>
          <c:idx val="1"/>
          <c:order val="3"/>
          <c:tx>
            <c:strRef>
              <c:f>'Calculations - Dual'!$BS$3</c:f>
              <c:strCache>
                <c:ptCount val="1"/>
                <c:pt idx="0">
                  <c:v>Transformer Loss</c:v>
                </c:pt>
              </c:strCache>
            </c:strRef>
          </c:tx>
          <c:spPr>
            <a:ln w="38100">
              <a:solidFill>
                <a:srgbClr val="002060"/>
              </a:solidFill>
              <a:prstDash val="sysDot"/>
            </a:ln>
          </c:spPr>
          <c:marker>
            <c:symbol val="none"/>
          </c:marker>
          <c:cat>
            <c:numLit>
              <c:formatCode>General</c:formatCode>
              <c:ptCount val="201"/>
              <c:pt idx="0">
                <c:v>0</c:v>
              </c:pt>
              <c:pt idx="1">
                <c:v>2.5000000000000001E-2</c:v>
              </c:pt>
              <c:pt idx="2">
                <c:v>0.05</c:v>
              </c:pt>
              <c:pt idx="3">
                <c:v>7.4999999999999997E-2</c:v>
              </c:pt>
              <c:pt idx="4">
                <c:v>0.1</c:v>
              </c:pt>
              <c:pt idx="5">
                <c:v>0.125</c:v>
              </c:pt>
              <c:pt idx="6">
                <c:v>0.15</c:v>
              </c:pt>
              <c:pt idx="7">
                <c:v>0.17500000000000002</c:v>
              </c:pt>
              <c:pt idx="8">
                <c:v>0.2</c:v>
              </c:pt>
              <c:pt idx="9">
                <c:v>0.22499999999999998</c:v>
              </c:pt>
              <c:pt idx="10">
                <c:v>0.25</c:v>
              </c:pt>
              <c:pt idx="11">
                <c:v>0.27500000000000002</c:v>
              </c:pt>
              <c:pt idx="12">
                <c:v>0.3</c:v>
              </c:pt>
              <c:pt idx="13">
                <c:v>0.32500000000000001</c:v>
              </c:pt>
              <c:pt idx="14">
                <c:v>0.35000000000000003</c:v>
              </c:pt>
              <c:pt idx="15">
                <c:v>0.375</c:v>
              </c:pt>
              <c:pt idx="16">
                <c:v>0.4</c:v>
              </c:pt>
              <c:pt idx="17">
                <c:v>0.42500000000000004</c:v>
              </c:pt>
              <c:pt idx="18">
                <c:v>0.44999999999999996</c:v>
              </c:pt>
              <c:pt idx="19">
                <c:v>0.47499999999999998</c:v>
              </c:pt>
              <c:pt idx="20">
                <c:v>0.5</c:v>
              </c:pt>
              <c:pt idx="21">
                <c:v>0.52500000000000002</c:v>
              </c:pt>
              <c:pt idx="22">
                <c:v>0.55000000000000004</c:v>
              </c:pt>
              <c:pt idx="23">
                <c:v>0.57500000000000007</c:v>
              </c:pt>
              <c:pt idx="24">
                <c:v>0.6</c:v>
              </c:pt>
              <c:pt idx="25">
                <c:v>0.625</c:v>
              </c:pt>
              <c:pt idx="26">
                <c:v>0.65</c:v>
              </c:pt>
              <c:pt idx="27">
                <c:v>0.67500000000000004</c:v>
              </c:pt>
              <c:pt idx="28">
                <c:v>0.70000000000000007</c:v>
              </c:pt>
              <c:pt idx="29">
                <c:v>0.72499999999999998</c:v>
              </c:pt>
              <c:pt idx="30">
                <c:v>0.75</c:v>
              </c:pt>
              <c:pt idx="31">
                <c:v>0.77500000000000002</c:v>
              </c:pt>
              <c:pt idx="32">
                <c:v>0.8</c:v>
              </c:pt>
              <c:pt idx="33">
                <c:v>0.82500000000000007</c:v>
              </c:pt>
              <c:pt idx="34">
                <c:v>0.85000000000000009</c:v>
              </c:pt>
              <c:pt idx="35">
                <c:v>0.875</c:v>
              </c:pt>
              <c:pt idx="36">
                <c:v>0.89999999999999991</c:v>
              </c:pt>
              <c:pt idx="37">
                <c:v>0.92500000000000004</c:v>
              </c:pt>
              <c:pt idx="38">
                <c:v>0.95</c:v>
              </c:pt>
              <c:pt idx="39">
                <c:v>0.97500000000000009</c:v>
              </c:pt>
              <c:pt idx="40">
                <c:v>1</c:v>
              </c:pt>
              <c:pt idx="41">
                <c:v>1.0249999999999999</c:v>
              </c:pt>
              <c:pt idx="42">
                <c:v>1.05</c:v>
              </c:pt>
              <c:pt idx="43">
                <c:v>1.075</c:v>
              </c:pt>
              <c:pt idx="44">
                <c:v>1.1000000000000001</c:v>
              </c:pt>
              <c:pt idx="45">
                <c:v>1.125</c:v>
              </c:pt>
              <c:pt idx="46">
                <c:v>1.1500000000000001</c:v>
              </c:pt>
              <c:pt idx="47">
                <c:v>1.1749999999999998</c:v>
              </c:pt>
              <c:pt idx="48">
                <c:v>1.2</c:v>
              </c:pt>
              <c:pt idx="49">
                <c:v>1.2250000000000001</c:v>
              </c:pt>
              <c:pt idx="50">
                <c:v>1.25</c:v>
              </c:pt>
              <c:pt idx="51">
                <c:v>1.2749999999999999</c:v>
              </c:pt>
              <c:pt idx="52">
                <c:v>1.3</c:v>
              </c:pt>
              <c:pt idx="53">
                <c:v>1.3250000000000002</c:v>
              </c:pt>
              <c:pt idx="54">
                <c:v>1.35</c:v>
              </c:pt>
              <c:pt idx="55">
                <c:v>1.375</c:v>
              </c:pt>
              <c:pt idx="56">
                <c:v>1.4000000000000001</c:v>
              </c:pt>
              <c:pt idx="57">
                <c:v>1.4249999999999998</c:v>
              </c:pt>
              <c:pt idx="58">
                <c:v>1.45</c:v>
              </c:pt>
              <c:pt idx="59">
                <c:v>1.4749999999999999</c:v>
              </c:pt>
              <c:pt idx="60">
                <c:v>1.5</c:v>
              </c:pt>
              <c:pt idx="61">
                <c:v>1.5249999999999999</c:v>
              </c:pt>
              <c:pt idx="62">
                <c:v>1.55</c:v>
              </c:pt>
              <c:pt idx="63">
                <c:v>1.575</c:v>
              </c:pt>
              <c:pt idx="64">
                <c:v>1.6</c:v>
              </c:pt>
              <c:pt idx="65">
                <c:v>1.625</c:v>
              </c:pt>
              <c:pt idx="66">
                <c:v>1.6500000000000001</c:v>
              </c:pt>
              <c:pt idx="67">
                <c:v>1.675</c:v>
              </c:pt>
              <c:pt idx="68">
                <c:v>1.7000000000000002</c:v>
              </c:pt>
              <c:pt idx="69">
                <c:v>1.7249999999999999</c:v>
              </c:pt>
              <c:pt idx="70">
                <c:v>1.75</c:v>
              </c:pt>
              <c:pt idx="71">
                <c:v>1.7749999999999999</c:v>
              </c:pt>
              <c:pt idx="72">
                <c:v>1.7999999999999998</c:v>
              </c:pt>
              <c:pt idx="73">
                <c:v>1.825</c:v>
              </c:pt>
              <c:pt idx="74">
                <c:v>1.85</c:v>
              </c:pt>
              <c:pt idx="75">
                <c:v>1.875</c:v>
              </c:pt>
              <c:pt idx="76">
                <c:v>1.9</c:v>
              </c:pt>
              <c:pt idx="77">
                <c:v>1.925</c:v>
              </c:pt>
              <c:pt idx="78">
                <c:v>1.9500000000000002</c:v>
              </c:pt>
              <c:pt idx="79">
                <c:v>1.9750000000000001</c:v>
              </c:pt>
              <c:pt idx="80">
                <c:v>2</c:v>
              </c:pt>
              <c:pt idx="81">
                <c:v>2.0250000000000004</c:v>
              </c:pt>
              <c:pt idx="82">
                <c:v>2.0499999999999998</c:v>
              </c:pt>
              <c:pt idx="83">
                <c:v>2.0749999999999997</c:v>
              </c:pt>
              <c:pt idx="84">
                <c:v>2.1</c:v>
              </c:pt>
              <c:pt idx="85">
                <c:v>2.125</c:v>
              </c:pt>
              <c:pt idx="86">
                <c:v>2.15</c:v>
              </c:pt>
              <c:pt idx="87">
                <c:v>2.1749999999999998</c:v>
              </c:pt>
              <c:pt idx="88">
                <c:v>2.2000000000000002</c:v>
              </c:pt>
              <c:pt idx="89">
                <c:v>2.2250000000000001</c:v>
              </c:pt>
              <c:pt idx="90">
                <c:v>2.25</c:v>
              </c:pt>
              <c:pt idx="91">
                <c:v>2.2749999999999999</c:v>
              </c:pt>
              <c:pt idx="92">
                <c:v>2.3000000000000003</c:v>
              </c:pt>
              <c:pt idx="93">
                <c:v>2.3250000000000002</c:v>
              </c:pt>
              <c:pt idx="94">
                <c:v>2.3499999999999996</c:v>
              </c:pt>
              <c:pt idx="95">
                <c:v>2.375</c:v>
              </c:pt>
              <c:pt idx="96">
                <c:v>2.4</c:v>
              </c:pt>
              <c:pt idx="97">
                <c:v>2.4249999999999998</c:v>
              </c:pt>
              <c:pt idx="98">
                <c:v>2.4500000000000002</c:v>
              </c:pt>
              <c:pt idx="99">
                <c:v>2.4750000000000001</c:v>
              </c:pt>
              <c:pt idx="100">
                <c:v>2.5</c:v>
              </c:pt>
              <c:pt idx="101">
                <c:v>2.5249999999999999</c:v>
              </c:pt>
              <c:pt idx="102">
                <c:v>2.5499999999999998</c:v>
              </c:pt>
              <c:pt idx="103">
                <c:v>2.5750000000000002</c:v>
              </c:pt>
              <c:pt idx="104">
                <c:v>2.6</c:v>
              </c:pt>
              <c:pt idx="105">
                <c:v>2.625</c:v>
              </c:pt>
              <c:pt idx="106">
                <c:v>2.6500000000000004</c:v>
              </c:pt>
              <c:pt idx="107">
                <c:v>2.6750000000000003</c:v>
              </c:pt>
              <c:pt idx="108">
                <c:v>2.7</c:v>
              </c:pt>
              <c:pt idx="109">
                <c:v>2.7250000000000001</c:v>
              </c:pt>
              <c:pt idx="110">
                <c:v>2.75</c:v>
              </c:pt>
              <c:pt idx="111">
                <c:v>2.7750000000000004</c:v>
              </c:pt>
              <c:pt idx="112">
                <c:v>2.8000000000000003</c:v>
              </c:pt>
              <c:pt idx="113">
                <c:v>2.8249999999999997</c:v>
              </c:pt>
              <c:pt idx="114">
                <c:v>2.8499999999999996</c:v>
              </c:pt>
              <c:pt idx="115">
                <c:v>2.875</c:v>
              </c:pt>
              <c:pt idx="116">
                <c:v>2.9</c:v>
              </c:pt>
              <c:pt idx="117">
                <c:v>2.9249999999999998</c:v>
              </c:pt>
              <c:pt idx="118">
                <c:v>2.9499999999999997</c:v>
              </c:pt>
              <c:pt idx="119">
                <c:v>2.9749999999999996</c:v>
              </c:pt>
              <c:pt idx="120">
                <c:v>3</c:v>
              </c:pt>
              <c:pt idx="121">
                <c:v>3.0249999999999999</c:v>
              </c:pt>
              <c:pt idx="122">
                <c:v>3.05</c:v>
              </c:pt>
              <c:pt idx="123">
                <c:v>3.0750000000000002</c:v>
              </c:pt>
              <c:pt idx="124">
                <c:v>3.1</c:v>
              </c:pt>
              <c:pt idx="125">
                <c:v>3.125</c:v>
              </c:pt>
              <c:pt idx="126">
                <c:v>3.15</c:v>
              </c:pt>
              <c:pt idx="127">
                <c:v>3.1749999999999998</c:v>
              </c:pt>
              <c:pt idx="128">
                <c:v>3.2</c:v>
              </c:pt>
              <c:pt idx="129">
                <c:v>3.2250000000000001</c:v>
              </c:pt>
              <c:pt idx="130">
                <c:v>3.25</c:v>
              </c:pt>
              <c:pt idx="131">
                <c:v>3.2750000000000004</c:v>
              </c:pt>
              <c:pt idx="132">
                <c:v>3.3000000000000003</c:v>
              </c:pt>
              <c:pt idx="133">
                <c:v>3.3250000000000002</c:v>
              </c:pt>
              <c:pt idx="134">
                <c:v>3.35</c:v>
              </c:pt>
              <c:pt idx="135">
                <c:v>3.375</c:v>
              </c:pt>
              <c:pt idx="136">
                <c:v>3.4000000000000004</c:v>
              </c:pt>
              <c:pt idx="137">
                <c:v>3.4250000000000003</c:v>
              </c:pt>
              <c:pt idx="138">
                <c:v>3.4499999999999997</c:v>
              </c:pt>
              <c:pt idx="139">
                <c:v>3.4749999999999996</c:v>
              </c:pt>
              <c:pt idx="140">
                <c:v>3.5</c:v>
              </c:pt>
              <c:pt idx="141">
                <c:v>3.5249999999999999</c:v>
              </c:pt>
              <c:pt idx="142">
                <c:v>3.55</c:v>
              </c:pt>
              <c:pt idx="143">
                <c:v>3.5749999999999997</c:v>
              </c:pt>
              <c:pt idx="144">
                <c:v>3.5999999999999996</c:v>
              </c:pt>
              <c:pt idx="145">
                <c:v>3.625</c:v>
              </c:pt>
              <c:pt idx="146">
                <c:v>3.65</c:v>
              </c:pt>
              <c:pt idx="147">
                <c:v>3.6749999999999998</c:v>
              </c:pt>
              <c:pt idx="148">
                <c:v>3.7</c:v>
              </c:pt>
              <c:pt idx="149">
                <c:v>3.7250000000000001</c:v>
              </c:pt>
              <c:pt idx="150">
                <c:v>3.75</c:v>
              </c:pt>
              <c:pt idx="151">
                <c:v>3.7749999999999999</c:v>
              </c:pt>
              <c:pt idx="152">
                <c:v>3.8</c:v>
              </c:pt>
              <c:pt idx="153">
                <c:v>3.8250000000000002</c:v>
              </c:pt>
              <c:pt idx="154">
                <c:v>3.85</c:v>
              </c:pt>
              <c:pt idx="155">
                <c:v>3.875</c:v>
              </c:pt>
              <c:pt idx="156">
                <c:v>3.9000000000000004</c:v>
              </c:pt>
              <c:pt idx="157">
                <c:v>3.9250000000000003</c:v>
              </c:pt>
              <c:pt idx="158">
                <c:v>3.95</c:v>
              </c:pt>
              <c:pt idx="159">
                <c:v>3.9750000000000001</c:v>
              </c:pt>
              <c:pt idx="160">
                <c:v>4</c:v>
              </c:pt>
              <c:pt idx="161">
                <c:v>4.0250000000000004</c:v>
              </c:pt>
              <c:pt idx="162">
                <c:v>4.0500000000000007</c:v>
              </c:pt>
              <c:pt idx="163">
                <c:v>4.0749999999999993</c:v>
              </c:pt>
              <c:pt idx="164">
                <c:v>4.0999999999999996</c:v>
              </c:pt>
              <c:pt idx="165">
                <c:v>4.125</c:v>
              </c:pt>
              <c:pt idx="166">
                <c:v>4.1499999999999995</c:v>
              </c:pt>
              <c:pt idx="167">
                <c:v>4.1749999999999998</c:v>
              </c:pt>
              <c:pt idx="168">
                <c:v>4.2</c:v>
              </c:pt>
              <c:pt idx="169">
                <c:v>4.2249999999999996</c:v>
              </c:pt>
              <c:pt idx="170">
                <c:v>4.25</c:v>
              </c:pt>
              <c:pt idx="171">
                <c:v>4.2750000000000004</c:v>
              </c:pt>
              <c:pt idx="172">
                <c:v>4.3</c:v>
              </c:pt>
              <c:pt idx="173">
                <c:v>4.3250000000000002</c:v>
              </c:pt>
              <c:pt idx="174">
                <c:v>4.3499999999999996</c:v>
              </c:pt>
              <c:pt idx="175">
                <c:v>4.375</c:v>
              </c:pt>
              <c:pt idx="176">
                <c:v>4.4000000000000004</c:v>
              </c:pt>
              <c:pt idx="177">
                <c:v>4.4249999999999998</c:v>
              </c:pt>
              <c:pt idx="178">
                <c:v>4.45</c:v>
              </c:pt>
              <c:pt idx="179">
                <c:v>4.4749999999999996</c:v>
              </c:pt>
              <c:pt idx="180">
                <c:v>4.5</c:v>
              </c:pt>
              <c:pt idx="181">
                <c:v>4.5250000000000004</c:v>
              </c:pt>
              <c:pt idx="182">
                <c:v>4.55</c:v>
              </c:pt>
              <c:pt idx="183">
                <c:v>4.5750000000000002</c:v>
              </c:pt>
              <c:pt idx="184">
                <c:v>4.6000000000000005</c:v>
              </c:pt>
              <c:pt idx="185">
                <c:v>4.625</c:v>
              </c:pt>
              <c:pt idx="186">
                <c:v>4.6500000000000004</c:v>
              </c:pt>
              <c:pt idx="187">
                <c:v>4.6750000000000007</c:v>
              </c:pt>
              <c:pt idx="188">
                <c:v>4.6999999999999993</c:v>
              </c:pt>
              <c:pt idx="189">
                <c:v>4.7249999999999996</c:v>
              </c:pt>
              <c:pt idx="190">
                <c:v>4.75</c:v>
              </c:pt>
              <c:pt idx="191">
                <c:v>4.7749999999999995</c:v>
              </c:pt>
              <c:pt idx="192">
                <c:v>4.8</c:v>
              </c:pt>
              <c:pt idx="193">
                <c:v>4.8250000000000002</c:v>
              </c:pt>
              <c:pt idx="194">
                <c:v>4.8499999999999996</c:v>
              </c:pt>
              <c:pt idx="195">
                <c:v>4.875</c:v>
              </c:pt>
              <c:pt idx="196">
                <c:v>4.9000000000000004</c:v>
              </c:pt>
              <c:pt idx="197">
                <c:v>4.9249999999999998</c:v>
              </c:pt>
              <c:pt idx="198">
                <c:v>4.95</c:v>
              </c:pt>
              <c:pt idx="199">
                <c:v>4.9749999999999996</c:v>
              </c:pt>
              <c:pt idx="200">
                <c:v>5</c:v>
              </c:pt>
            </c:numLit>
          </c:cat>
          <c:val>
            <c:numRef>
              <c:f>'Calculations - Dual'!$BX$5:$BX$105</c:f>
              <c:numCache>
                <c:formatCode>0.0</c:formatCode>
                <c:ptCount val="101"/>
                <c:pt idx="0">
                  <c:v>11.8328780787037</c:v>
                </c:pt>
                <c:pt idx="1">
                  <c:v>12.595391203703699</c:v>
                </c:pt>
                <c:pt idx="2">
                  <c:v>13.59888657407407</c:v>
                </c:pt>
                <c:pt idx="3">
                  <c:v>14.602381944444444</c:v>
                </c:pt>
                <c:pt idx="4">
                  <c:v>15.605877314814817</c:v>
                </c:pt>
                <c:pt idx="5">
                  <c:v>16.609372685185182</c:v>
                </c:pt>
                <c:pt idx="6">
                  <c:v>19.993453889883131</c:v>
                </c:pt>
                <c:pt idx="7">
                  <c:v>24.615141576921165</c:v>
                </c:pt>
                <c:pt idx="8">
                  <c:v>29.596538675074729</c:v>
                </c:pt>
                <c:pt idx="9">
                  <c:v>33.931691605325106</c:v>
                </c:pt>
                <c:pt idx="10">
                  <c:v>37.64959976933676</c:v>
                </c:pt>
                <c:pt idx="11">
                  <c:v>41.359862387052999</c:v>
                </c:pt>
                <c:pt idx="12">
                  <c:v>45.062836056868463</c:v>
                </c:pt>
                <c:pt idx="13">
                  <c:v>48.758831668389938</c:v>
                </c:pt>
                <c:pt idx="14">
                  <c:v>52.448123410246254</c:v>
                </c:pt>
                <c:pt idx="15">
                  <c:v>56.130955471695998</c:v>
                </c:pt>
                <c:pt idx="16">
                  <c:v>59.807547146107019</c:v>
                </c:pt>
                <c:pt idx="17">
                  <c:v>63.478096795432428</c:v>
                </c:pt>
                <c:pt idx="18">
                  <c:v>67.142784983155593</c:v>
                </c:pt>
                <c:pt idx="19">
                  <c:v>70.801776987407806</c:v>
                </c:pt>
                <c:pt idx="20">
                  <c:v>74.455224843576048</c:v>
                </c:pt>
                <c:pt idx="21">
                  <c:v>78.103269023966362</c:v>
                </c:pt>
                <c:pt idx="22">
                  <c:v>81.746039833471045</c:v>
                </c:pt>
                <c:pt idx="23">
                  <c:v>85.383658580157842</c:v>
                </c:pt>
                <c:pt idx="24">
                  <c:v>89.016238565412706</c:v>
                </c:pt>
                <c:pt idx="25">
                  <c:v>92.643885927903511</c:v>
                </c:pt>
                <c:pt idx="26">
                  <c:v>96.266700367997458</c:v>
                </c:pt>
                <c:pt idx="27">
                  <c:v>99.884775773563803</c:v>
                </c:pt>
                <c:pt idx="28">
                  <c:v>103.49820076378063</c:v>
                </c:pt>
                <c:pt idx="29">
                  <c:v>107.10705916426394</c:v>
                </c:pt>
                <c:pt idx="30">
                  <c:v>110.71143042428463</c:v>
                </c:pt>
                <c:pt idx="31">
                  <c:v>114.31138998484543</c:v>
                </c:pt>
                <c:pt idx="32">
                  <c:v>117.90700960481936</c:v>
                </c:pt>
                <c:pt idx="33">
                  <c:v>121.49835765109971</c:v>
                </c:pt>
                <c:pt idx="34">
                  <c:v>125.08549935771352</c:v>
                </c:pt>
                <c:pt idx="35">
                  <c:v>128.66849705804</c:v>
                </c:pt>
                <c:pt idx="36">
                  <c:v>132.24741039362135</c:v>
                </c:pt>
                <c:pt idx="37">
                  <c:v>135.82229650251466</c:v>
                </c:pt>
                <c:pt idx="38">
                  <c:v>139.3932101896923</c:v>
                </c:pt>
                <c:pt idx="39">
                  <c:v>142.96020408163267</c:v>
                </c:pt>
                <c:pt idx="40">
                  <c:v>146.52332876693896</c:v>
                </c:pt>
                <c:pt idx="41">
                  <c:v>150.08263292456846</c:v>
                </c:pt>
                <c:pt idx="42">
                  <c:v>153.63816344104202</c:v>
                </c:pt>
                <c:pt idx="43">
                  <c:v>157.18996551782183</c:v>
                </c:pt>
                <c:pt idx="44">
                  <c:v>160.73808276989334</c:v>
                </c:pt>
                <c:pt idx="45">
                  <c:v>164.28255731645689</c:v>
                </c:pt>
                <c:pt idx="46">
                  <c:v>167.82342986452207</c:v>
                </c:pt>
                <c:pt idx="47">
                  <c:v>171.36073978610492</c:v>
                </c:pt>
                <c:pt idx="48">
                  <c:v>174.89452518964166</c:v>
                </c:pt>
                <c:pt idx="49">
                  <c:v>178.4248229861673</c:v>
                </c:pt>
                <c:pt idx="50">
                  <c:v>181.95166895073933</c:v>
                </c:pt>
                <c:pt idx="51">
                  <c:v>185.47509777953999</c:v>
                </c:pt>
                <c:pt idx="52">
                  <c:v>187.93182494552076</c:v>
                </c:pt>
                <c:pt idx="53">
                  <c:v>190.01327150135205</c:v>
                </c:pt>
                <c:pt idx="54">
                  <c:v>192.09578819032757</c:v>
                </c:pt>
                <c:pt idx="55">
                  <c:v>194.1793454203256</c:v>
                </c:pt>
                <c:pt idx="56">
                  <c:v>196.2639149384309</c:v>
                </c:pt>
                <c:pt idx="57">
                  <c:v>198.34946974759092</c:v>
                </c:pt>
                <c:pt idx="58">
                  <c:v>200.43598402982477</c:v>
                </c:pt>
                <c:pt idx="59">
                  <c:v>202.52343307536552</c:v>
                </c:pt>
                <c:pt idx="60">
                  <c:v>204.6117932171851</c:v>
                </c:pt>
                <c:pt idx="61">
                  <c:v>206.70104177041068</c:v>
                </c:pt>
                <c:pt idx="62">
                  <c:v>208.79115697619315</c:v>
                </c:pt>
                <c:pt idx="63">
                  <c:v>210.8821179496332</c:v>
                </c:pt>
                <c:pt idx="64">
                  <c:v>212.97390463141397</c:v>
                </c:pt>
                <c:pt idx="65">
                  <c:v>215.06649774282084</c:v>
                </c:pt>
                <c:pt idx="66">
                  <c:v>217.15987874386508</c:v>
                </c:pt>
                <c:pt idx="67">
                  <c:v>219.25402979425107</c:v>
                </c:pt>
                <c:pt idx="68">
                  <c:v>221.3489337169564</c:v>
                </c:pt>
                <c:pt idx="69">
                  <c:v>223.44457396421436</c:v>
                </c:pt>
                <c:pt idx="70">
                  <c:v>225.54093458570543</c:v>
                </c:pt>
                <c:pt idx="71">
                  <c:v>227.63800019878894</c:v>
                </c:pt>
                <c:pt idx="72">
                  <c:v>229.73575596061298</c:v>
                </c:pt>
                <c:pt idx="73">
                  <c:v>231.83418754196305</c:v>
                </c:pt>
                <c:pt idx="74">
                  <c:v>233.9332811027171</c:v>
                </c:pt>
                <c:pt idx="75">
                  <c:v>236.03302326878773</c:v>
                </c:pt>
                <c:pt idx="76">
                  <c:v>238.13340111044468</c:v>
                </c:pt>
                <c:pt idx="77">
                  <c:v>240.23440212191537</c:v>
                </c:pt>
                <c:pt idx="78">
                  <c:v>242.33601420217516</c:v>
                </c:pt>
                <c:pt idx="79">
                  <c:v>244.43822563684154</c:v>
                </c:pt>
                <c:pt idx="80">
                  <c:v>246.54102508109733</c:v>
                </c:pt>
                <c:pt idx="81">
                  <c:v>248.99655879233217</c:v>
                </c:pt>
                <c:pt idx="82">
                  <c:v>251.52225698966478</c:v>
                </c:pt>
                <c:pt idx="83">
                  <c:v>254.04235578621766</c:v>
                </c:pt>
                <c:pt idx="84">
                  <c:v>256.55697307304825</c:v>
                </c:pt>
                <c:pt idx="85">
                  <c:v>259.06622352936586</c:v>
                </c:pt>
                <c:pt idx="86">
                  <c:v>395.67709294317098</c:v>
                </c:pt>
                <c:pt idx="87">
                  <c:v>395.02931893730369</c:v>
                </c:pt>
                <c:pt idx="88">
                  <c:v>394.38974605783295</c:v>
                </c:pt>
                <c:pt idx="89">
                  <c:v>393.75821953923196</c:v>
                </c:pt>
                <c:pt idx="90">
                  <c:v>393.13458848578978</c:v>
                </c:pt>
                <c:pt idx="91">
                  <c:v>392.51870575141066</c:v>
                </c:pt>
                <c:pt idx="92">
                  <c:v>391.91042782386455</c:v>
                </c:pt>
                <c:pt idx="93">
                  <c:v>391.30961471329965</c:v>
                </c:pt>
                <c:pt idx="94">
                  <c:v>390.71612984483528</c:v>
                </c:pt>
                <c:pt idx="95">
                  <c:v>390.12983995505931</c:v>
                </c:pt>
                <c:pt idx="96">
                  <c:v>389.55061499226827</c:v>
                </c:pt>
                <c:pt idx="97">
                  <c:v>388.97832802029365</c:v>
                </c:pt>
                <c:pt idx="98">
                  <c:v>388.41285512576019</c:v>
                </c:pt>
                <c:pt idx="99">
                  <c:v>387.85407532864104</c:v>
                </c:pt>
                <c:pt idx="100">
                  <c:v>387.30187049596725</c:v>
                </c:pt>
              </c:numCache>
            </c:numRef>
          </c:val>
          <c:smooth val="0"/>
        </c:ser>
        <c:dLbls>
          <c:showLegendKey val="0"/>
          <c:showVal val="0"/>
          <c:showCatName val="0"/>
          <c:showSerName val="0"/>
          <c:showPercent val="0"/>
          <c:showBubbleSize val="0"/>
        </c:dLbls>
        <c:marker val="1"/>
        <c:smooth val="0"/>
        <c:axId val="141621888"/>
        <c:axId val="141619968"/>
      </c:lineChart>
      <c:catAx>
        <c:axId val="141607680"/>
        <c:scaling>
          <c:orientation val="minMax"/>
        </c:scaling>
        <c:delete val="0"/>
        <c:axPos val="b"/>
        <c:majorGridlines>
          <c:spPr>
            <a:ln w="15875">
              <a:solidFill>
                <a:srgbClr val="969696"/>
              </a:solidFill>
              <a:prstDash val="sysDash"/>
            </a:ln>
          </c:spPr>
        </c:majorGridlines>
        <c:minorGridlines/>
        <c:title>
          <c:tx>
            <c:rich>
              <a:bodyPr/>
              <a:lstStyle/>
              <a:p>
                <a:pPr>
                  <a:defRPr sz="1200" b="1" i="0" u="none" strike="noStrike" baseline="0">
                    <a:solidFill>
                      <a:srgbClr val="0000FF"/>
                    </a:solidFill>
                    <a:latin typeface="Arial" pitchFamily="34" charset="0"/>
                    <a:ea typeface="Calibri"/>
                    <a:cs typeface="Arial" pitchFamily="34" charset="0"/>
                  </a:defRPr>
                </a:pPr>
                <a:r>
                  <a:rPr lang="en-US" sz="1200">
                    <a:solidFill>
                      <a:srgbClr val="0000FF"/>
                    </a:solidFill>
                    <a:latin typeface="Arial" pitchFamily="34" charset="0"/>
                    <a:cs typeface="Arial" pitchFamily="34" charset="0"/>
                  </a:rPr>
                  <a:t>%</a:t>
                </a:r>
                <a:r>
                  <a:rPr lang="en-US" sz="1200" baseline="0">
                    <a:solidFill>
                      <a:srgbClr val="0000FF"/>
                    </a:solidFill>
                    <a:latin typeface="Arial" pitchFamily="34" charset="0"/>
                    <a:cs typeface="Arial" pitchFamily="34" charset="0"/>
                  </a:rPr>
                  <a:t> Total Rated Output Power</a:t>
                </a:r>
                <a:endParaRPr lang="en-US" sz="1200">
                  <a:solidFill>
                    <a:srgbClr val="0000FF"/>
                  </a:solidFill>
                  <a:latin typeface="Arial" pitchFamily="34" charset="0"/>
                  <a:cs typeface="Arial" pitchFamily="34" charset="0"/>
                </a:endParaRPr>
              </a:p>
            </c:rich>
          </c:tx>
          <c:layout>
            <c:manualLayout>
              <c:xMode val="edge"/>
              <c:yMode val="edge"/>
              <c:x val="0.42471011396394504"/>
              <c:y val="0.93853771636955563"/>
            </c:manualLayout>
          </c:layout>
          <c:overlay val="0"/>
          <c:spPr>
            <a:noFill/>
            <a:ln w="25400">
              <a:noFill/>
            </a:ln>
          </c:spPr>
        </c:title>
        <c:numFmt formatCode="General" sourceLinked="1"/>
        <c:majorTickMark val="in"/>
        <c:minorTickMark val="in"/>
        <c:tickLblPos val="nextTo"/>
        <c:spPr>
          <a:ln w="3175">
            <a:solidFill>
              <a:srgbClr val="000000"/>
            </a:solidFill>
            <a:prstDash val="solid"/>
          </a:ln>
        </c:spPr>
        <c:txPr>
          <a:bodyPr rot="0" vert="horz"/>
          <a:lstStyle/>
          <a:p>
            <a:pPr>
              <a:defRPr sz="1100" b="1" i="0" u="none" strike="noStrike" baseline="0">
                <a:solidFill>
                  <a:srgbClr val="0000FF"/>
                </a:solidFill>
                <a:latin typeface="Arial" pitchFamily="34" charset="0"/>
                <a:ea typeface="Calibri"/>
                <a:cs typeface="Arial" pitchFamily="34" charset="0"/>
              </a:defRPr>
            </a:pPr>
            <a:endParaRPr lang="en-US"/>
          </a:p>
        </c:txPr>
        <c:crossAx val="141609600"/>
        <c:crosses val="autoZero"/>
        <c:auto val="1"/>
        <c:lblAlgn val="ctr"/>
        <c:lblOffset val="100"/>
        <c:tickLblSkip val="20"/>
        <c:tickMarkSkip val="20"/>
        <c:noMultiLvlLbl val="0"/>
      </c:catAx>
      <c:valAx>
        <c:axId val="141609600"/>
        <c:scaling>
          <c:orientation val="minMax"/>
          <c:max val="100"/>
          <c:min val="55"/>
        </c:scaling>
        <c:delete val="0"/>
        <c:axPos val="l"/>
        <c:majorGridlines>
          <c:spPr>
            <a:ln w="15875">
              <a:solidFill>
                <a:srgbClr val="808080"/>
              </a:solidFill>
              <a:prstDash val="solid"/>
            </a:ln>
          </c:spPr>
        </c:majorGridlines>
        <c:title>
          <c:tx>
            <c:rich>
              <a:bodyPr/>
              <a:lstStyle/>
              <a:p>
                <a:pPr>
                  <a:defRPr sz="1400" b="1" i="0" u="none" strike="noStrike" baseline="0">
                    <a:solidFill>
                      <a:srgbClr val="FF0000"/>
                    </a:solidFill>
                    <a:latin typeface="Arial" pitchFamily="34" charset="0"/>
                    <a:ea typeface="Calibri"/>
                    <a:cs typeface="Arial" pitchFamily="34" charset="0"/>
                  </a:defRPr>
                </a:pPr>
                <a:r>
                  <a:rPr lang="en-US" sz="1200" b="1">
                    <a:solidFill>
                      <a:srgbClr val="FF0000"/>
                    </a:solidFill>
                    <a:latin typeface="Arial" pitchFamily="34" charset="0"/>
                    <a:cs typeface="Arial" pitchFamily="34" charset="0"/>
                  </a:rPr>
                  <a:t>Efficiency  (%)</a:t>
                </a:r>
              </a:p>
            </c:rich>
          </c:tx>
          <c:layout>
            <c:manualLayout>
              <c:xMode val="edge"/>
              <c:yMode val="edge"/>
              <c:x val="1.2871858674081443E-2"/>
              <c:y val="0.37638177915688309"/>
            </c:manualLayout>
          </c:layout>
          <c:overlay val="0"/>
          <c:spPr>
            <a:noFill/>
            <a:ln w="25400">
              <a:noFill/>
            </a:ln>
          </c:spPr>
        </c:title>
        <c:numFmt formatCode="General" sourceLinked="0"/>
        <c:majorTickMark val="in"/>
        <c:minorTickMark val="in"/>
        <c:tickLblPos val="nextTo"/>
        <c:spPr>
          <a:ln w="3175">
            <a:solidFill>
              <a:srgbClr val="000000"/>
            </a:solidFill>
            <a:prstDash val="solid"/>
          </a:ln>
        </c:spPr>
        <c:txPr>
          <a:bodyPr rot="0" vert="horz"/>
          <a:lstStyle/>
          <a:p>
            <a:pPr>
              <a:defRPr sz="1100" b="1" i="0" u="none" strike="noStrike" baseline="0">
                <a:solidFill>
                  <a:srgbClr val="FF0000"/>
                </a:solidFill>
                <a:latin typeface="Arial" pitchFamily="34" charset="0"/>
                <a:ea typeface="Calibri"/>
                <a:cs typeface="Arial" pitchFamily="34" charset="0"/>
              </a:defRPr>
            </a:pPr>
            <a:endParaRPr lang="en-US"/>
          </a:p>
        </c:txPr>
        <c:crossAx val="141607680"/>
        <c:crossesAt val="0"/>
        <c:crossBetween val="between"/>
        <c:majorUnit val="5"/>
        <c:minorUnit val="2.5"/>
      </c:valAx>
      <c:valAx>
        <c:axId val="141619968"/>
        <c:scaling>
          <c:orientation val="minMax"/>
        </c:scaling>
        <c:delete val="0"/>
        <c:axPos val="r"/>
        <c:title>
          <c:tx>
            <c:rich>
              <a:bodyPr rot="-5400000" vert="horz"/>
              <a:lstStyle/>
              <a:p>
                <a:pPr>
                  <a:defRPr sz="1200" b="1"/>
                </a:pPr>
                <a:r>
                  <a:rPr lang="en-US" sz="1200" b="1"/>
                  <a:t>Power Loss (mW)</a:t>
                </a:r>
              </a:p>
            </c:rich>
          </c:tx>
          <c:layout>
            <c:manualLayout>
              <c:xMode val="edge"/>
              <c:yMode val="edge"/>
              <c:x val="0.95168474305601269"/>
              <c:y val="0.38117714045368295"/>
            </c:manualLayout>
          </c:layout>
          <c:overlay val="0"/>
        </c:title>
        <c:numFmt formatCode="General" sourceLinked="0"/>
        <c:majorTickMark val="out"/>
        <c:minorTickMark val="none"/>
        <c:tickLblPos val="nextTo"/>
        <c:txPr>
          <a:bodyPr/>
          <a:lstStyle/>
          <a:p>
            <a:pPr>
              <a:defRPr sz="1100" b="1">
                <a:solidFill>
                  <a:sysClr val="windowText" lastClr="000000"/>
                </a:solidFill>
              </a:defRPr>
            </a:pPr>
            <a:endParaRPr lang="en-US"/>
          </a:p>
        </c:txPr>
        <c:crossAx val="141621888"/>
        <c:crosses val="max"/>
        <c:crossBetween val="between"/>
      </c:valAx>
      <c:catAx>
        <c:axId val="141621888"/>
        <c:scaling>
          <c:orientation val="minMax"/>
        </c:scaling>
        <c:delete val="1"/>
        <c:axPos val="b"/>
        <c:numFmt formatCode="General" sourceLinked="1"/>
        <c:majorTickMark val="out"/>
        <c:minorTickMark val="none"/>
        <c:tickLblPos val="nextTo"/>
        <c:crossAx val="141619968"/>
        <c:crosses val="autoZero"/>
        <c:auto val="1"/>
        <c:lblAlgn val="ctr"/>
        <c:lblOffset val="100"/>
        <c:noMultiLvlLbl val="0"/>
      </c:catAx>
      <c:spPr>
        <a:noFill/>
        <a:ln w="25400">
          <a:noFill/>
        </a:ln>
      </c:spPr>
    </c:plotArea>
    <c:legend>
      <c:legendPos val="t"/>
      <c:layout>
        <c:manualLayout>
          <c:xMode val="edge"/>
          <c:yMode val="edge"/>
          <c:x val="0.40102557566231317"/>
          <c:y val="1.1892633038167682E-2"/>
          <c:w val="0.50550962619267337"/>
          <c:h val="8.9795049320617604E-2"/>
        </c:manualLayout>
      </c:layout>
      <c:overlay val="0"/>
      <c:spPr>
        <a:solidFill>
          <a:srgbClr val="FFFFFF"/>
        </a:solidFill>
        <a:ln w="25400">
          <a:noFill/>
        </a:ln>
      </c:spPr>
      <c:txPr>
        <a:bodyPr/>
        <a:lstStyle/>
        <a:p>
          <a:pPr>
            <a:defRPr sz="1100" b="0" i="0" u="none" strike="noStrike" baseline="0">
              <a:solidFill>
                <a:srgbClr val="000000"/>
              </a:solidFill>
              <a:latin typeface="Arial" pitchFamily="34" charset="0"/>
              <a:ea typeface="Calibri"/>
              <a:cs typeface="Arial" pitchFamily="34" charset="0"/>
            </a:defRPr>
          </a:pPr>
          <a:endParaRPr lang="en-US"/>
        </a:p>
      </c:txPr>
    </c:legend>
    <c:plotVisOnly val="1"/>
    <c:dispBlanksAs val="gap"/>
    <c:showDLblsOverMax val="0"/>
  </c:chart>
  <c:spPr>
    <a:solidFill>
      <a:srgbClr val="FFFFFF"/>
    </a:solidFill>
    <a:ln w="9525">
      <a:solidFill>
        <a:srgbClr val="808080"/>
      </a:solid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paperSize="5" orientation="portrait"/>
  </c:printSettings>
</c:chartSpace>
</file>

<file path=xl/ctrlProps/ctrlProp1.xml><?xml version="1.0" encoding="utf-8"?>
<formControlPr xmlns="http://schemas.microsoft.com/office/spreadsheetml/2009/9/main" objectType="Spin" dx="16" fmlaLink="$E$7" max="65" min="3" page="10" val="13"/>
</file>

<file path=xl/ctrlProps/ctrlProp10.xml><?xml version="1.0" encoding="utf-8"?>
<formControlPr xmlns="http://schemas.microsoft.com/office/spreadsheetml/2009/9/main" objectType="Drop" dropStyle="combo" dx="16" fmlaLink="$Q$36" fmlaRange="'Variable Mgmt'!$W$67:$W$71" noThreeD="1" sel="2" val="0"/>
</file>

<file path=xl/ctrlProps/ctrlProp11.xml><?xml version="1.0" encoding="utf-8"?>
<formControlPr xmlns="http://schemas.microsoft.com/office/spreadsheetml/2009/9/main" objectType="Drop" dropStyle="combo" dx="16" fmlaLink="$Q$42" fmlaRange="'Variable Mgmt'!$R$56:$R$58" noThreeD="1" val="0"/>
</file>

<file path=xl/ctrlProps/ctrlProp12.xml><?xml version="1.0" encoding="utf-8"?>
<formControlPr xmlns="http://schemas.microsoft.com/office/spreadsheetml/2009/9/main" objectType="Drop" dropLines="2" dropStyle="combo" dx="16" fmlaLink="$Q$38" fmlaRange="'Variable Mgmt'!$W$67:$W$68" noThreeD="1" sel="2" val="0"/>
</file>

<file path=xl/ctrlProps/ctrlProp13.xml><?xml version="1.0" encoding="utf-8"?>
<formControlPr xmlns="http://schemas.microsoft.com/office/spreadsheetml/2009/9/main" objectType="Drop" dropStyle="combo" dx="16" fmlaLink="$Q$37" fmlaRange="'Variable Mgmt'!$W$65:$W$67" noThreeD="1" sel="3" val="0"/>
</file>

<file path=xl/ctrlProps/ctrlProp14.xml><?xml version="1.0" encoding="utf-8"?>
<formControlPr xmlns="http://schemas.microsoft.com/office/spreadsheetml/2009/9/main" objectType="Drop" dropStyle="combo" dx="16" fmlaLink="$Q$41" fmlaRange="'Variable Mgmt'!$R$56:$R$58" noThreeD="1" val="0"/>
</file>

<file path=xl/ctrlProps/ctrlProp15.xml><?xml version="1.0" encoding="utf-8"?>
<formControlPr xmlns="http://schemas.microsoft.com/office/spreadsheetml/2009/9/main" objectType="Drop" dropStyle="combo" dx="16" fmlaLink="$Q$43" fmlaRange="'Variable Mgmt'!$R$56:$R$58" noThreeD="1" val="0"/>
</file>

<file path=xl/ctrlProps/ctrlProp16.xml><?xml version="1.0" encoding="utf-8"?>
<formControlPr xmlns="http://schemas.microsoft.com/office/spreadsheetml/2009/9/main" objectType="Drop" dropStyle="combo" dx="16" fmlaLink="$Q$44" fmlaRange="'Variable Mgmt'!$R$56:$R$58" noThreeD="1" val="0"/>
</file>

<file path=xl/ctrlProps/ctrlProp17.xml><?xml version="1.0" encoding="utf-8"?>
<formControlPr xmlns="http://schemas.microsoft.com/office/spreadsheetml/2009/9/main" objectType="Drop" dropStyle="combo" dx="16" fmlaLink="$Q$45" fmlaRange="'Variable Mgmt'!$R$56:$R$58" noThreeD="1" val="0"/>
</file>

<file path=xl/ctrlProps/ctrlProp18.xml><?xml version="1.0" encoding="utf-8"?>
<formControlPr xmlns="http://schemas.microsoft.com/office/spreadsheetml/2009/9/main" objectType="Drop" dropStyle="combo" dx="16" fmlaLink="$Q$35" fmlaRange="'Variable Mgmt'!$W$67:$W$71" noThreeD="1" sel="2" val="0"/>
</file>

<file path=xl/ctrlProps/ctrlProp19.xml><?xml version="1.0" encoding="utf-8"?>
<formControlPr xmlns="http://schemas.microsoft.com/office/spreadsheetml/2009/9/main" objectType="Drop" dropStyle="combo" dx="16" fmlaLink="$Q$46" fmlaRange="'Variable Mgmt'!$R$65:$R$71" noThreeD="1" sel="7" val="0"/>
</file>

<file path=xl/ctrlProps/ctrlProp2.xml><?xml version="1.0" encoding="utf-8"?>
<formControlPr xmlns="http://schemas.microsoft.com/office/spreadsheetml/2009/9/main" objectType="Drop" dropStyle="combo" dx="16" fmlaLink="'Variable Mgmt'!$J$56" fmlaRange="'Variable Mgmt'!$I$54:$I$55" noThreeD="1" val="0"/>
</file>

<file path=xl/ctrlProps/ctrlProp20.xml><?xml version="1.0" encoding="utf-8"?>
<formControlPr xmlns="http://schemas.microsoft.com/office/spreadsheetml/2009/9/main" objectType="Drop" dropStyle="combo" dx="16" fmlaLink="$Q$34" fmlaRange="'Variable Mgmt'!$R$56:$R$58" noThreeD="1" val="0"/>
</file>

<file path=xl/ctrlProps/ctrlProp21.xml><?xml version="1.0" encoding="utf-8"?>
<formControlPr xmlns="http://schemas.microsoft.com/office/spreadsheetml/2009/9/main" objectType="Drop" dropStyle="combo" dx="16" fmlaLink="$Q$33" fmlaRange="'Variable Mgmt'!$R$56:$R$60" noThreeD="1" sel="5" val="0"/>
</file>

<file path=xl/ctrlProps/ctrlProp22.xml><?xml version="1.0" encoding="utf-8"?>
<formControlPr xmlns="http://schemas.microsoft.com/office/spreadsheetml/2009/9/main" objectType="Drop" dropLines="2" dropStyle="combo" dx="16" fmlaLink="$Q$39" fmlaRange="'Variable Mgmt'!$W$65:$W$66" noThreeD="1" val="0"/>
</file>

<file path=xl/ctrlProps/ctrlProp23.xml><?xml version="1.0" encoding="utf-8"?>
<formControlPr xmlns="http://schemas.microsoft.com/office/spreadsheetml/2009/9/main" objectType="Drop" dropLines="2" dropStyle="combo" dx="16" fmlaLink="$Q$39" fmlaRange="'Variable Mgmt'!$W$65:$W$66" noThreeD="1" val="0"/>
</file>

<file path=xl/ctrlProps/ctrlProp24.xml><?xml version="1.0" encoding="utf-8"?>
<formControlPr xmlns="http://schemas.microsoft.com/office/spreadsheetml/2009/9/main" objectType="Drop" dropLines="2" dropStyle="combo" dx="16" fmlaLink="'Variable Mgmt'!$M$56" fmlaRange="'Variable Mgmt'!$L$54:$L$55" noThreeD="1" val="0"/>
</file>

<file path=xl/ctrlProps/ctrlProp3.xml><?xml version="1.0" encoding="utf-8"?>
<formControlPr xmlns="http://schemas.microsoft.com/office/spreadsheetml/2009/9/main" objectType="Drop" dropLines="2" dropStyle="combo" dx="16" fmlaLink="'Variable Mgmt'!$G$56" fmlaRange="'Variable Mgmt'!$F$54:$F$55" noThreeD="1" val="0"/>
</file>

<file path=xl/ctrlProps/ctrlProp4.xml><?xml version="1.0" encoding="utf-8"?>
<formControlPr xmlns="http://schemas.microsoft.com/office/spreadsheetml/2009/9/main" objectType="Drop" dropLines="10" dropStyle="combo" dx="16" fmlaLink="'Variable Mgmt'!$S$38" fmlaRange="'Variable Mgmt'!$R$28:$R$37" noThreeD="1" sel="6" val="0"/>
</file>

<file path=xl/ctrlProps/ctrlProp5.xml><?xml version="1.0" encoding="utf-8"?>
<formControlPr xmlns="http://schemas.microsoft.com/office/spreadsheetml/2009/9/main" objectType="Drop" dropStyle="combo" dx="16" fmlaLink="'Variable Mgmt'!$G$50" fmlaRange="'Variable Mgmt'!$F$48:$F$49" noThreeD="1" val="0"/>
</file>

<file path=xl/ctrlProps/ctrlProp6.xml><?xml version="1.0" encoding="utf-8"?>
<formControlPr xmlns="http://schemas.microsoft.com/office/spreadsheetml/2009/9/main" objectType="Drop" dropLines="10" dropStyle="combo" dx="16" fmlaLink="'Variable Mgmt'!$C$51" fmlaRange="'Variable Mgmt'!$B$48:$B$49" noThreeD="1" val="0"/>
</file>

<file path=xl/ctrlProps/ctrlProp7.xml><?xml version="1.0" encoding="utf-8"?>
<formControlPr xmlns="http://schemas.microsoft.com/office/spreadsheetml/2009/9/main" objectType="Drop" dropLines="4" dropStyle="combo" dx="16" fmlaLink="'Variable Mgmt'!$S$20" fmlaRange="'Variable Mgmt'!$R$18:$R$19" noThreeD="1" sel="2" val="0"/>
</file>

<file path=xl/ctrlProps/ctrlProp8.xml><?xml version="1.0" encoding="utf-8"?>
<formControlPr xmlns="http://schemas.microsoft.com/office/spreadsheetml/2009/9/main" objectType="Drop" dropStyle="combo" dx="16" fmlaLink="'BOM &amp; Schematic'!$Q$31" fmlaRange="'Variable Mgmt'!$R$56:$R$60" noThreeD="1" sel="5" val="0"/>
</file>

<file path=xl/ctrlProps/ctrlProp9.xml><?xml version="1.0" encoding="utf-8"?>
<formControlPr xmlns="http://schemas.microsoft.com/office/spreadsheetml/2009/9/main" objectType="Drop" dropStyle="combo" dx="16" fmlaLink="$Q$32" fmlaRange="'Variable Mgmt'!$R$56:$R$60" noThreeD="1" sel="5" val="0"/>
</file>

<file path=xl/drawings/_rels/drawing1.xml.rels><?xml version="1.0" encoding="UTF-8" standalone="yes"?>
<Relationships xmlns="http://schemas.openxmlformats.org/package/2006/relationships"><Relationship Id="rId8" Type="http://schemas.openxmlformats.org/officeDocument/2006/relationships/image" Target="../media/image5.jpg"/><Relationship Id="rId3" Type="http://schemas.openxmlformats.org/officeDocument/2006/relationships/hyperlink" Target="http://www.ti.com/widevin" TargetMode="External"/><Relationship Id="rId7" Type="http://schemas.openxmlformats.org/officeDocument/2006/relationships/hyperlink" Target="http://www.ti.com/automotive" TargetMode="External"/><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4.jpg"/><Relationship Id="rId5" Type="http://schemas.openxmlformats.org/officeDocument/2006/relationships/hyperlink" Target="http://www.ti.com/industrial" TargetMode="External"/><Relationship Id="rId4" Type="http://schemas.openxmlformats.org/officeDocument/2006/relationships/image" Target="../media/image3.jpg"/><Relationship Id="rId9" Type="http://schemas.openxmlformats.org/officeDocument/2006/relationships/image" Target="../media/image6.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chart" Target="../charts/chart19.xml"/><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image" Target="../media/image19.emf"/></Relationships>
</file>

<file path=xl/drawings/_rels/drawing13.xml.rels><?xml version="1.0" encoding="UTF-8" standalone="yes"?>
<Relationships xmlns="http://schemas.openxmlformats.org/package/2006/relationships"><Relationship Id="rId8" Type="http://schemas.openxmlformats.org/officeDocument/2006/relationships/image" Target="../media/image28.emf"/><Relationship Id="rId13" Type="http://schemas.openxmlformats.org/officeDocument/2006/relationships/image" Target="../media/image33.emf"/><Relationship Id="rId18" Type="http://schemas.openxmlformats.org/officeDocument/2006/relationships/image" Target="../media/image38.emf"/><Relationship Id="rId3" Type="http://schemas.openxmlformats.org/officeDocument/2006/relationships/image" Target="../media/image23.emf"/><Relationship Id="rId21" Type="http://schemas.openxmlformats.org/officeDocument/2006/relationships/image" Target="../media/image41.emf"/><Relationship Id="rId7" Type="http://schemas.openxmlformats.org/officeDocument/2006/relationships/image" Target="../media/image27.emf"/><Relationship Id="rId12" Type="http://schemas.openxmlformats.org/officeDocument/2006/relationships/image" Target="../media/image32.emf"/><Relationship Id="rId17" Type="http://schemas.openxmlformats.org/officeDocument/2006/relationships/image" Target="../media/image37.emf"/><Relationship Id="rId2" Type="http://schemas.openxmlformats.org/officeDocument/2006/relationships/image" Target="../media/image22.emf"/><Relationship Id="rId16" Type="http://schemas.openxmlformats.org/officeDocument/2006/relationships/image" Target="../media/image36.emf"/><Relationship Id="rId20" Type="http://schemas.openxmlformats.org/officeDocument/2006/relationships/image" Target="../media/image40.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24" Type="http://schemas.openxmlformats.org/officeDocument/2006/relationships/image" Target="../media/image44.emf"/><Relationship Id="rId5" Type="http://schemas.openxmlformats.org/officeDocument/2006/relationships/image" Target="../media/image25.emf"/><Relationship Id="rId15" Type="http://schemas.openxmlformats.org/officeDocument/2006/relationships/image" Target="../media/image35.emf"/><Relationship Id="rId23" Type="http://schemas.openxmlformats.org/officeDocument/2006/relationships/image" Target="../media/image43.emf"/><Relationship Id="rId10" Type="http://schemas.openxmlformats.org/officeDocument/2006/relationships/image" Target="../media/image30.emf"/><Relationship Id="rId19" Type="http://schemas.openxmlformats.org/officeDocument/2006/relationships/image" Target="../media/image39.emf"/><Relationship Id="rId4" Type="http://schemas.openxmlformats.org/officeDocument/2006/relationships/image" Target="../media/image24.emf"/><Relationship Id="rId9" Type="http://schemas.openxmlformats.org/officeDocument/2006/relationships/image" Target="../media/image29.emf"/><Relationship Id="rId14" Type="http://schemas.openxmlformats.org/officeDocument/2006/relationships/image" Target="../media/image34.emf"/><Relationship Id="rId22" Type="http://schemas.openxmlformats.org/officeDocument/2006/relationships/image" Target="../media/image4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3.x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image" Target="../media/image16.png"/><Relationship Id="rId1" Type="http://schemas.openxmlformats.org/officeDocument/2006/relationships/chart" Target="../charts/chart12.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209550</xdr:colOff>
          <xdr:row>24</xdr:row>
          <xdr:rowOff>243409</xdr:rowOff>
        </xdr:from>
        <xdr:to>
          <xdr:col>25</xdr:col>
          <xdr:colOff>1895036</xdr:colOff>
          <xdr:row>45</xdr:row>
          <xdr:rowOff>91228</xdr:rowOff>
        </xdr:to>
        <xdr:pic>
          <xdr:nvPicPr>
            <xdr:cNvPr id="59" name="Picture 8888"/>
            <xdr:cNvPicPr>
              <a:picLocks noChangeAspect="1" noChangeArrowheads="1"/>
              <a:extLst>
                <a:ext uri="{84589F7E-364E-4C9E-8A38-B11213B215E9}">
                  <a14:cameraTool cellRange="PICTURE3" spid="_x0000_s737028"/>
                </a:ext>
              </a:extLst>
            </xdr:cNvPicPr>
          </xdr:nvPicPr>
          <xdr:blipFill>
            <a:blip xmlns:r="http://schemas.openxmlformats.org/officeDocument/2006/relationships" r:embed="rId1"/>
            <a:srcRect/>
            <a:stretch>
              <a:fillRect/>
            </a:stretch>
          </xdr:blipFill>
          <xdr:spPr bwMode="auto">
            <a:xfrm>
              <a:off x="10701704" y="5408890"/>
              <a:ext cx="6675120" cy="4090107"/>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305021</xdr:colOff>
          <xdr:row>4</xdr:row>
          <xdr:rowOff>103292</xdr:rowOff>
        </xdr:from>
        <xdr:to>
          <xdr:col>25</xdr:col>
          <xdr:colOff>46264</xdr:colOff>
          <xdr:row>24</xdr:row>
          <xdr:rowOff>212257</xdr:rowOff>
        </xdr:to>
        <xdr:pic>
          <xdr:nvPicPr>
            <xdr:cNvPr id="45" name="Picture 8888"/>
            <xdr:cNvPicPr>
              <a:picLocks noChangeAspect="1" noChangeArrowheads="1"/>
              <a:extLst>
                <a:ext uri="{84589F7E-364E-4C9E-8A38-B11213B215E9}">
                  <a14:cameraTool cellRange="PICTURE1" spid="_x0000_s737029"/>
                </a:ext>
              </a:extLst>
            </xdr:cNvPicPr>
          </xdr:nvPicPr>
          <xdr:blipFill>
            <a:blip xmlns:r="http://schemas.openxmlformats.org/officeDocument/2006/relationships" r:embed="rId2"/>
            <a:srcRect/>
            <a:stretch>
              <a:fillRect/>
            </a:stretch>
          </xdr:blipFill>
          <xdr:spPr bwMode="auto">
            <a:xfrm>
              <a:off x="8239346" y="1246292"/>
              <a:ext cx="7313618" cy="4166615"/>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14</xdr:col>
      <xdr:colOff>381978</xdr:colOff>
      <xdr:row>11</xdr:row>
      <xdr:rowOff>72357</xdr:rowOff>
    </xdr:from>
    <xdr:to>
      <xdr:col>15</xdr:col>
      <xdr:colOff>99301</xdr:colOff>
      <xdr:row>12</xdr:row>
      <xdr:rowOff>95485</xdr:rowOff>
    </xdr:to>
    <xdr:sp macro="" textlink="">
      <xdr:nvSpPr>
        <xdr:cNvPr id="2292" name="Text Box 244"/>
        <xdr:cNvSpPr txBox="1">
          <a:spLocks noChangeArrowheads="1"/>
        </xdr:cNvSpPr>
      </xdr:nvSpPr>
      <xdr:spPr bwMode="auto">
        <a:xfrm>
          <a:off x="8925903" y="2644107"/>
          <a:ext cx="326923" cy="223153"/>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C</a:t>
          </a:r>
          <a:r>
            <a:rPr lang="en-US" sz="1100" b="0" i="0" strike="noStrike" baseline="-25000">
              <a:solidFill>
                <a:srgbClr val="000000"/>
              </a:solidFill>
              <a:latin typeface="Arial" pitchFamily="34" charset="0"/>
              <a:cs typeface="Arial" pitchFamily="34" charset="0"/>
            </a:rPr>
            <a:t>IN</a:t>
          </a:r>
        </a:p>
      </xdr:txBody>
    </xdr:sp>
    <xdr:clientData/>
  </xdr:twoCellAnchor>
  <xdr:twoCellAnchor>
    <xdr:from>
      <xdr:col>23</xdr:col>
      <xdr:colOff>132557</xdr:colOff>
      <xdr:row>9</xdr:row>
      <xdr:rowOff>152400</xdr:rowOff>
    </xdr:from>
    <xdr:to>
      <xdr:col>24</xdr:col>
      <xdr:colOff>16035</xdr:colOff>
      <xdr:row>10</xdr:row>
      <xdr:rowOff>152762</xdr:rowOff>
    </xdr:to>
    <xdr:sp macro="" textlink="'Variable Mgmt'!B206">
      <xdr:nvSpPr>
        <xdr:cNvPr id="2315" name="Text Box 267"/>
        <xdr:cNvSpPr txBox="1">
          <a:spLocks noChangeArrowheads="1" noTextEdit="1"/>
        </xdr:cNvSpPr>
      </xdr:nvSpPr>
      <xdr:spPr bwMode="auto">
        <a:xfrm>
          <a:off x="14420057" y="2324100"/>
          <a:ext cx="493078" cy="200387"/>
        </a:xfrm>
        <a:prstGeom prst="rect">
          <a:avLst/>
        </a:prstGeom>
        <a:noFill/>
        <a:ln w="9525">
          <a:noFill/>
          <a:miter lim="800000"/>
          <a:headEnd/>
          <a:tailEnd/>
        </a:ln>
      </xdr:spPr>
      <xdr:txBody>
        <a:bodyPr vertOverflow="clip" wrap="square" lIns="27432" tIns="22860" rIns="0" bIns="0" anchor="ctr" upright="1"/>
        <a:lstStyle/>
        <a:p>
          <a:pPr algn="l" rtl="0">
            <a:defRPr sz="1000"/>
          </a:pPr>
          <a:fld id="{DEF62FD0-959B-4627-B7E8-61CA1688D174}" type="TxLink">
            <a:rPr lang="en-US" sz="1100" b="0" i="0" u="none" strike="noStrike" baseline="0">
              <a:solidFill>
                <a:srgbClr val="000000"/>
              </a:solidFill>
              <a:latin typeface="Arial" pitchFamily="34" charset="0"/>
              <a:cs typeface="Arial" pitchFamily="34" charset="0"/>
            </a:rPr>
            <a:pPr algn="l" rtl="0">
              <a:defRPr sz="1000"/>
            </a:pPr>
            <a:t>47µF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20</xdr:col>
      <xdr:colOff>471028</xdr:colOff>
      <xdr:row>11</xdr:row>
      <xdr:rowOff>166894</xdr:rowOff>
    </xdr:from>
    <xdr:to>
      <xdr:col>21</xdr:col>
      <xdr:colOff>310312</xdr:colOff>
      <xdr:row>13</xdr:row>
      <xdr:rowOff>15767</xdr:rowOff>
    </xdr:to>
    <xdr:sp macro="" textlink="'Variable Mgmt'!B192">
      <xdr:nvSpPr>
        <xdr:cNvPr id="2323" name="Text Box 275"/>
        <xdr:cNvSpPr txBox="1">
          <a:spLocks noChangeArrowheads="1" noTextEdit="1"/>
        </xdr:cNvSpPr>
      </xdr:nvSpPr>
      <xdr:spPr bwMode="auto">
        <a:xfrm>
          <a:off x="12929728" y="2738644"/>
          <a:ext cx="448884" cy="248923"/>
        </a:xfrm>
        <a:prstGeom prst="rect">
          <a:avLst/>
        </a:prstGeom>
        <a:noFill/>
        <a:ln w="9525">
          <a:noFill/>
          <a:miter lim="800000"/>
          <a:headEnd/>
          <a:tailEnd/>
        </a:ln>
      </xdr:spPr>
      <xdr:txBody>
        <a:bodyPr vertOverflow="clip" wrap="square" lIns="27432" tIns="22860" rIns="0" bIns="0" anchor="ctr" upright="1"/>
        <a:lstStyle/>
        <a:p>
          <a:pPr algn="ctr" rtl="0">
            <a:defRPr sz="1000"/>
          </a:pPr>
          <a:fld id="{08583DE7-3129-476B-98BE-2887A134E956}" type="TxLink">
            <a:rPr lang="en-US" sz="1050" b="0" i="0" u="none" strike="noStrike" baseline="0">
              <a:solidFill>
                <a:srgbClr val="000000"/>
              </a:solidFill>
              <a:latin typeface="Arial" pitchFamily="34" charset="0"/>
              <a:cs typeface="Arial" pitchFamily="34" charset="0"/>
            </a:rPr>
            <a:pPr algn="ctr" rtl="0">
              <a:defRPr sz="1000"/>
            </a:pPr>
            <a:t>7µH</a:t>
          </a:fld>
          <a:endParaRPr lang="en-US" sz="1050" b="0" i="0" u="none" strike="noStrike" baseline="0">
            <a:solidFill>
              <a:srgbClr val="000000"/>
            </a:solidFill>
            <a:latin typeface="Arial" pitchFamily="34" charset="0"/>
            <a:cs typeface="Arial" pitchFamily="34" charset="0"/>
          </a:endParaRPr>
        </a:p>
      </xdr:txBody>
    </xdr:sp>
    <xdr:clientData/>
  </xdr:twoCellAnchor>
  <xdr:twoCellAnchor>
    <xdr:from>
      <xdr:col>14</xdr:col>
      <xdr:colOff>291064</xdr:colOff>
      <xdr:row>12</xdr:row>
      <xdr:rowOff>96249</xdr:rowOff>
    </xdr:from>
    <xdr:to>
      <xdr:col>15</xdr:col>
      <xdr:colOff>155296</xdr:colOff>
      <xdr:row>13</xdr:row>
      <xdr:rowOff>88852</xdr:rowOff>
    </xdr:to>
    <xdr:sp macro="" textlink="'Variable Mgmt'!B211">
      <xdr:nvSpPr>
        <xdr:cNvPr id="2324" name="Text Box 276"/>
        <xdr:cNvSpPr txBox="1">
          <a:spLocks noChangeArrowheads="1" noTextEdit="1"/>
        </xdr:cNvSpPr>
      </xdr:nvSpPr>
      <xdr:spPr bwMode="auto">
        <a:xfrm>
          <a:off x="8834989" y="2868024"/>
          <a:ext cx="473832" cy="192628"/>
        </a:xfrm>
        <a:prstGeom prst="rect">
          <a:avLst/>
        </a:prstGeom>
        <a:noFill/>
        <a:ln w="9525">
          <a:noFill/>
          <a:miter lim="800000"/>
          <a:headEnd/>
          <a:tailEnd/>
        </a:ln>
      </xdr:spPr>
      <xdr:txBody>
        <a:bodyPr vertOverflow="clip" wrap="square" lIns="27432" tIns="22860" rIns="0" bIns="0" anchor="ctr" upright="1"/>
        <a:lstStyle/>
        <a:p>
          <a:pPr algn="ctr" rtl="0">
            <a:defRPr sz="1000"/>
          </a:pPr>
          <a:fld id="{7E8F3901-1453-4951-8E28-510E65401D4C}" type="TxLink">
            <a:rPr lang="en-US" sz="1100" b="0" i="0" u="none" strike="noStrike" baseline="0">
              <a:solidFill>
                <a:srgbClr val="000000"/>
              </a:solidFill>
              <a:latin typeface="Arial" pitchFamily="34" charset="0"/>
              <a:cs typeface="Arial" pitchFamily="34" charset="0"/>
            </a:rPr>
            <a:pPr algn="ctr" rtl="0">
              <a:defRPr sz="1000"/>
            </a:pPr>
            <a:t>10µF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15</xdr:col>
      <xdr:colOff>240362</xdr:colOff>
      <xdr:row>21</xdr:row>
      <xdr:rowOff>19528</xdr:rowOff>
    </xdr:from>
    <xdr:to>
      <xdr:col>16</xdr:col>
      <xdr:colOff>8055</xdr:colOff>
      <xdr:row>22</xdr:row>
      <xdr:rowOff>97673</xdr:rowOff>
    </xdr:to>
    <xdr:sp macro="" textlink="'Variable Mgmt'!D238">
      <xdr:nvSpPr>
        <xdr:cNvPr id="2329" name="Text Box 281"/>
        <xdr:cNvSpPr txBox="1">
          <a:spLocks noChangeArrowheads="1" noTextEdit="1"/>
        </xdr:cNvSpPr>
      </xdr:nvSpPr>
      <xdr:spPr bwMode="auto">
        <a:xfrm>
          <a:off x="9393887" y="4639153"/>
          <a:ext cx="443968" cy="287695"/>
        </a:xfrm>
        <a:prstGeom prst="rect">
          <a:avLst/>
        </a:prstGeom>
        <a:noFill/>
        <a:ln w="9525">
          <a:noFill/>
          <a:miter lim="800000"/>
          <a:headEnd/>
          <a:tailEnd/>
        </a:ln>
      </xdr:spPr>
      <xdr:txBody>
        <a:bodyPr vertOverflow="clip" wrap="square" lIns="27432" tIns="22860" rIns="0" bIns="0" anchor="ctr" upright="1"/>
        <a:lstStyle/>
        <a:p>
          <a:pPr algn="ctr" rtl="0">
            <a:defRPr sz="1000"/>
          </a:pPr>
          <a:fld id="{F2115F91-8BFD-4C9B-9969-8B2C04ADF4C5}" type="TxLink">
            <a:rPr lang="en-US" sz="1100" b="0" i="0" u="none" strike="noStrike">
              <a:solidFill>
                <a:srgbClr val="000000"/>
              </a:solidFill>
              <a:latin typeface="Arial"/>
              <a:cs typeface="Arial"/>
            </a:rPr>
            <a:pPr algn="ctr" rtl="0">
              <a:defRPr sz="1000"/>
            </a:pPr>
            <a:t>47nF</a:t>
          </a:fld>
          <a:endParaRPr lang="en-US" sz="1100" b="0" i="0" strike="noStrike">
            <a:solidFill>
              <a:srgbClr val="000000"/>
            </a:solidFill>
            <a:latin typeface="Arial" pitchFamily="34" charset="0"/>
            <a:cs typeface="Arial" pitchFamily="34" charset="0"/>
          </a:endParaRPr>
        </a:p>
      </xdr:txBody>
    </xdr:sp>
    <xdr:clientData/>
  </xdr:twoCellAnchor>
  <xdr:twoCellAnchor>
    <xdr:from>
      <xdr:col>13</xdr:col>
      <xdr:colOff>383720</xdr:colOff>
      <xdr:row>6</xdr:row>
      <xdr:rowOff>10907</xdr:rowOff>
    </xdr:from>
    <xdr:to>
      <xdr:col>14</xdr:col>
      <xdr:colOff>285286</xdr:colOff>
      <xdr:row>8</xdr:row>
      <xdr:rowOff>95545</xdr:rowOff>
    </xdr:to>
    <xdr:sp macro="" textlink="'Variable Mgmt'!B198">
      <xdr:nvSpPr>
        <xdr:cNvPr id="2331" name="Text Box 283"/>
        <xdr:cNvSpPr txBox="1">
          <a:spLocks noChangeArrowheads="1" noTextEdit="1"/>
        </xdr:cNvSpPr>
      </xdr:nvSpPr>
      <xdr:spPr bwMode="auto">
        <a:xfrm>
          <a:off x="8318045" y="1601582"/>
          <a:ext cx="511166" cy="465638"/>
        </a:xfrm>
        <a:prstGeom prst="rect">
          <a:avLst/>
        </a:prstGeom>
        <a:noFill/>
        <a:ln w="9525">
          <a:noFill/>
          <a:miter lim="800000"/>
          <a:headEnd/>
          <a:tailEnd/>
        </a:ln>
      </xdr:spPr>
      <xdr:txBody>
        <a:bodyPr vertOverflow="clip" wrap="square" lIns="27432" tIns="22860" rIns="0" bIns="0" anchor="ctr" upright="1"/>
        <a:lstStyle/>
        <a:p>
          <a:pPr algn="r" rtl="0">
            <a:defRPr sz="1000"/>
          </a:pPr>
          <a:fld id="{211B0151-B00E-493E-8C8F-6E492416D93B}" type="TxLink">
            <a:rPr lang="en-US" sz="1400" b="1" i="0" u="none" strike="noStrike">
              <a:solidFill>
                <a:srgbClr val="FF0000"/>
              </a:solidFill>
              <a:latin typeface="Arial" pitchFamily="34" charset="0"/>
              <a:cs typeface="Arial" pitchFamily="34" charset="0"/>
            </a:rPr>
            <a:pPr algn="r" rtl="0">
              <a:defRPr sz="1000"/>
            </a:pPr>
            <a:t>13.5V</a:t>
          </a:fld>
          <a:endParaRPr lang="en-US" sz="1400" b="1" i="0" strike="noStrike">
            <a:solidFill>
              <a:srgbClr val="FF0000"/>
            </a:solidFill>
            <a:latin typeface="Arial" pitchFamily="34" charset="0"/>
            <a:cs typeface="Arial" pitchFamily="34" charset="0"/>
          </a:endParaRPr>
        </a:p>
      </xdr:txBody>
    </xdr:sp>
    <xdr:clientData/>
  </xdr:twoCellAnchor>
  <xdr:twoCellAnchor>
    <xdr:from>
      <xdr:col>24</xdr:col>
      <xdr:colOff>19339</xdr:colOff>
      <xdr:row>6</xdr:row>
      <xdr:rowOff>57503</xdr:rowOff>
    </xdr:from>
    <xdr:to>
      <xdr:col>25</xdr:col>
      <xdr:colOff>74772</xdr:colOff>
      <xdr:row>8</xdr:row>
      <xdr:rowOff>34017</xdr:rowOff>
    </xdr:to>
    <xdr:sp macro="" textlink="'Variable Mgmt'!B201">
      <xdr:nvSpPr>
        <xdr:cNvPr id="2333" name="Text Box 285"/>
        <xdr:cNvSpPr txBox="1">
          <a:spLocks noChangeArrowheads="1" noTextEdit="1"/>
        </xdr:cNvSpPr>
      </xdr:nvSpPr>
      <xdr:spPr bwMode="auto">
        <a:xfrm>
          <a:off x="14916439" y="1648178"/>
          <a:ext cx="665033" cy="357514"/>
        </a:xfrm>
        <a:prstGeom prst="rect">
          <a:avLst/>
        </a:prstGeom>
        <a:noFill/>
        <a:ln w="9525">
          <a:noFill/>
          <a:miter lim="800000"/>
          <a:headEnd/>
          <a:tailEnd/>
        </a:ln>
      </xdr:spPr>
      <xdr:txBody>
        <a:bodyPr vertOverflow="clip" wrap="square" lIns="27432" tIns="22860" rIns="0" bIns="0" anchor="ctr" upright="1"/>
        <a:lstStyle/>
        <a:p>
          <a:pPr algn="l" rtl="0">
            <a:defRPr sz="1000"/>
          </a:pPr>
          <a:fld id="{702C2B8A-7C4B-4FDB-B229-3170089D9686}" type="TxLink">
            <a:rPr lang="en-US" sz="1400" b="1" i="0" u="none" strike="noStrike" baseline="0">
              <a:solidFill>
                <a:srgbClr val="FF0000"/>
              </a:solidFill>
              <a:latin typeface="Arial" pitchFamily="34" charset="0"/>
              <a:cs typeface="Arial" pitchFamily="34" charset="0"/>
            </a:rPr>
            <a:pPr algn="l" rtl="0">
              <a:defRPr sz="1000"/>
            </a:pPr>
            <a:t>12V</a:t>
          </a:fld>
          <a:endParaRPr lang="en-US" sz="1400" b="1" i="0" u="none" strike="noStrike" baseline="0">
            <a:solidFill>
              <a:srgbClr val="FF0000"/>
            </a:solidFill>
            <a:latin typeface="Arial" pitchFamily="34" charset="0"/>
            <a:cs typeface="Arial" pitchFamily="34" charset="0"/>
          </a:endParaRPr>
        </a:p>
      </xdr:txBody>
    </xdr:sp>
    <xdr:clientData/>
  </xdr:twoCellAnchor>
  <xdr:twoCellAnchor>
    <xdr:from>
      <xdr:col>23</xdr:col>
      <xdr:colOff>466725</xdr:colOff>
      <xdr:row>7</xdr:row>
      <xdr:rowOff>153310</xdr:rowOff>
    </xdr:from>
    <xdr:to>
      <xdr:col>24</xdr:col>
      <xdr:colOff>408213</xdr:colOff>
      <xdr:row>9</xdr:row>
      <xdr:rowOff>64353</xdr:rowOff>
    </xdr:to>
    <xdr:sp macro="" textlink="'Variable Mgmt'!B256">
      <xdr:nvSpPr>
        <xdr:cNvPr id="2334" name="Text Box 286"/>
        <xdr:cNvSpPr txBox="1">
          <a:spLocks noChangeArrowheads="1" noTextEdit="1"/>
        </xdr:cNvSpPr>
      </xdr:nvSpPr>
      <xdr:spPr bwMode="auto">
        <a:xfrm>
          <a:off x="14754225" y="1924960"/>
          <a:ext cx="551088" cy="311093"/>
        </a:xfrm>
        <a:prstGeom prst="rect">
          <a:avLst/>
        </a:prstGeom>
        <a:noFill/>
        <a:ln w="9525">
          <a:noFill/>
          <a:miter lim="800000"/>
          <a:headEnd/>
          <a:tailEnd/>
        </a:ln>
      </xdr:spPr>
      <xdr:txBody>
        <a:bodyPr vertOverflow="clip" wrap="square" lIns="27432" tIns="22860" rIns="0" bIns="0" anchor="ctr" upright="1"/>
        <a:lstStyle/>
        <a:p>
          <a:pPr algn="ctr" rtl="0">
            <a:defRPr sz="1000"/>
          </a:pPr>
          <a:fld id="{E0FB88FA-F39E-4ACF-AB5E-DCB628763AAE}" type="TxLink">
            <a:rPr lang="en-US" sz="1350" b="1" i="0" u="none" strike="noStrike">
              <a:solidFill>
                <a:srgbClr val="FF0000"/>
              </a:solidFill>
              <a:latin typeface="Arial" pitchFamily="34" charset="0"/>
              <a:cs typeface="Arial" pitchFamily="34" charset="0"/>
            </a:rPr>
            <a:pPr algn="ctr" rtl="0">
              <a:defRPr sz="1000"/>
            </a:pPr>
            <a:t>0.8A</a:t>
          </a:fld>
          <a:endParaRPr lang="en-US" sz="1350" b="1" i="0" strike="noStrike">
            <a:solidFill>
              <a:srgbClr val="FF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xdr:from>
          <xdr:col>5</xdr:col>
          <xdr:colOff>123825</xdr:colOff>
          <xdr:row>6</xdr:row>
          <xdr:rowOff>9525</xdr:rowOff>
        </xdr:from>
        <xdr:to>
          <xdr:col>5</xdr:col>
          <xdr:colOff>304800</xdr:colOff>
          <xdr:row>7</xdr:row>
          <xdr:rowOff>28575</xdr:rowOff>
        </xdr:to>
        <xdr:sp macro="" textlink="">
          <xdr:nvSpPr>
            <xdr:cNvPr id="672895" name="Spinner 127" hidden="1">
              <a:extLst>
                <a:ext uri="{63B3BB69-23CF-44E3-9099-C40C66FF867C}">
                  <a14:compatExt spid="_x0000_s672895"/>
                </a:ext>
              </a:extLst>
            </xdr:cNvPr>
            <xdr:cNvSpPr/>
          </xdr:nvSpPr>
          <xdr:spPr>
            <a:xfrm>
              <a:off x="0" y="0"/>
              <a:ext cx="0" cy="0"/>
            </a:xfrm>
            <a:prstGeom prst="rect">
              <a:avLst/>
            </a:prstGeom>
          </xdr:spPr>
        </xdr:sp>
        <xdr:clientData/>
      </xdr:twoCellAnchor>
    </mc:Choice>
    <mc:Fallback/>
  </mc:AlternateContent>
  <xdr:twoCellAnchor>
    <xdr:from>
      <xdr:col>15</xdr:col>
      <xdr:colOff>335079</xdr:colOff>
      <xdr:row>10</xdr:row>
      <xdr:rowOff>32564</xdr:rowOff>
    </xdr:from>
    <xdr:to>
      <xdr:col>16</xdr:col>
      <xdr:colOff>183502</xdr:colOff>
      <xdr:row>11</xdr:row>
      <xdr:rowOff>77904</xdr:rowOff>
    </xdr:to>
    <xdr:sp macro="" textlink="'Variable Mgmt'!C230">
      <xdr:nvSpPr>
        <xdr:cNvPr id="71" name="Text Box 268"/>
        <xdr:cNvSpPr txBox="1">
          <a:spLocks noChangeArrowheads="1" noTextEdit="1"/>
        </xdr:cNvSpPr>
      </xdr:nvSpPr>
      <xdr:spPr bwMode="auto">
        <a:xfrm>
          <a:off x="9488604" y="2404289"/>
          <a:ext cx="524698" cy="245365"/>
        </a:xfrm>
        <a:prstGeom prst="rect">
          <a:avLst/>
        </a:prstGeom>
        <a:noFill/>
        <a:ln w="9525">
          <a:noFill/>
          <a:miter lim="800000"/>
          <a:headEnd/>
          <a:tailEnd/>
        </a:ln>
      </xdr:spPr>
      <xdr:txBody>
        <a:bodyPr vertOverflow="clip" wrap="square" lIns="27432" tIns="22860" rIns="0" bIns="0" anchor="ctr" upright="1"/>
        <a:lstStyle/>
        <a:p>
          <a:pPr algn="l" rtl="0">
            <a:defRPr sz="1000"/>
          </a:pPr>
          <a:fld id="{1D1A3E7F-1E53-43A2-8796-92E471B27515}" type="TxLink">
            <a:rPr lang="en-US" sz="1000" b="0" i="0" u="none" strike="noStrike">
              <a:solidFill>
                <a:srgbClr val="000000"/>
              </a:solidFill>
              <a:latin typeface="Arial"/>
              <a:cs typeface="Arial"/>
            </a:rPr>
            <a:pPr algn="l" rtl="0">
              <a:defRPr sz="1000"/>
            </a:pPr>
            <a:t>261kΩ</a:t>
          </a:fld>
          <a:endParaRPr lang="el-GR" sz="1000" b="0" i="0" strike="noStrike">
            <a:solidFill>
              <a:srgbClr val="000000"/>
            </a:solidFill>
            <a:latin typeface="Arial" pitchFamily="34" charset="0"/>
            <a:cs typeface="Arial" pitchFamily="34" charset="0"/>
          </a:endParaRPr>
        </a:p>
      </xdr:txBody>
    </xdr:sp>
    <xdr:clientData/>
  </xdr:twoCellAnchor>
  <xdr:twoCellAnchor>
    <xdr:from>
      <xdr:col>15</xdr:col>
      <xdr:colOff>316029</xdr:colOff>
      <xdr:row>14</xdr:row>
      <xdr:rowOff>215084</xdr:rowOff>
    </xdr:from>
    <xdr:to>
      <xdr:col>16</xdr:col>
      <xdr:colOff>164452</xdr:colOff>
      <xdr:row>15</xdr:row>
      <xdr:rowOff>176021</xdr:rowOff>
    </xdr:to>
    <xdr:sp macro="" textlink="'Variable Mgmt'!C231">
      <xdr:nvSpPr>
        <xdr:cNvPr id="73" name="Text Box 268"/>
        <xdr:cNvSpPr txBox="1">
          <a:spLocks noChangeArrowheads="1" noTextEdit="1"/>
        </xdr:cNvSpPr>
      </xdr:nvSpPr>
      <xdr:spPr bwMode="auto">
        <a:xfrm>
          <a:off x="9469554" y="3386909"/>
          <a:ext cx="524698" cy="208587"/>
        </a:xfrm>
        <a:prstGeom prst="rect">
          <a:avLst/>
        </a:prstGeom>
        <a:noFill/>
        <a:ln w="9525">
          <a:noFill/>
          <a:miter lim="800000"/>
          <a:headEnd/>
          <a:tailEnd/>
        </a:ln>
      </xdr:spPr>
      <xdr:txBody>
        <a:bodyPr vertOverflow="clip" wrap="square" lIns="27432" tIns="22860" rIns="0" bIns="0" anchor="ctr" upright="1"/>
        <a:lstStyle/>
        <a:p>
          <a:pPr algn="l" rtl="0">
            <a:defRPr sz="1000"/>
          </a:pPr>
          <a:fld id="{0720E52E-2A5C-45C2-9027-CC896682AFB7}" type="TxLink">
            <a:rPr lang="en-US" sz="1000" b="0" i="0" u="none" strike="noStrike">
              <a:solidFill>
                <a:srgbClr val="000000"/>
              </a:solidFill>
              <a:latin typeface="Arial"/>
              <a:cs typeface="Arial"/>
            </a:rPr>
            <a:pPr algn="l" rtl="0">
              <a:defRPr sz="1000"/>
            </a:pPr>
            <a:t>86.6kΩ</a:t>
          </a:fld>
          <a:endParaRPr lang="el-GR" sz="1000" b="0" i="0" strike="noStrike">
            <a:solidFill>
              <a:srgbClr val="000000"/>
            </a:solidFill>
            <a:latin typeface="Arial" pitchFamily="34" charset="0"/>
            <a:cs typeface="Arial" pitchFamily="34" charset="0"/>
          </a:endParaRPr>
        </a:p>
      </xdr:txBody>
    </xdr:sp>
    <xdr:clientData/>
  </xdr:twoCellAnchor>
  <xdr:twoCellAnchor>
    <xdr:from>
      <xdr:col>19</xdr:col>
      <xdr:colOff>325713</xdr:colOff>
      <xdr:row>15</xdr:row>
      <xdr:rowOff>30701</xdr:rowOff>
    </xdr:from>
    <xdr:to>
      <xdr:col>20</xdr:col>
      <xdr:colOff>235357</xdr:colOff>
      <xdr:row>16</xdr:row>
      <xdr:rowOff>65648</xdr:rowOff>
    </xdr:to>
    <xdr:sp macro="" textlink="'Variable Mgmt'!C220">
      <xdr:nvSpPr>
        <xdr:cNvPr id="89" name="Text Box 268"/>
        <xdr:cNvSpPr txBox="1">
          <a:spLocks noChangeArrowheads="1" noTextEdit="1"/>
        </xdr:cNvSpPr>
      </xdr:nvSpPr>
      <xdr:spPr bwMode="auto">
        <a:xfrm>
          <a:off x="12174813" y="3450176"/>
          <a:ext cx="519244" cy="234972"/>
        </a:xfrm>
        <a:prstGeom prst="rect">
          <a:avLst/>
        </a:prstGeom>
        <a:noFill/>
        <a:ln w="9525">
          <a:noFill/>
          <a:miter lim="800000"/>
          <a:headEnd/>
          <a:tailEnd/>
        </a:ln>
      </xdr:spPr>
      <xdr:txBody>
        <a:bodyPr vertOverflow="clip" wrap="square" lIns="27432" tIns="22860" rIns="0" bIns="0" anchor="ctr" upright="1"/>
        <a:lstStyle/>
        <a:p>
          <a:pPr algn="l" rtl="0">
            <a:defRPr sz="1000"/>
          </a:pPr>
          <a:fld id="{748954DB-E280-498C-BC91-9439B9EC7524}" type="TxLink">
            <a:rPr lang="en-US" sz="1100" b="0" i="0" u="none" strike="noStrike">
              <a:solidFill>
                <a:srgbClr val="000000"/>
              </a:solidFill>
              <a:latin typeface="Arial"/>
              <a:cs typeface="Arial"/>
            </a:rPr>
            <a:pPr algn="l" rtl="0">
              <a:defRPr sz="1000"/>
            </a:pPr>
            <a:t>121kΩ</a:t>
          </a:fld>
          <a:endParaRPr lang="el-GR" sz="1800" b="0" i="0" strike="noStrike">
            <a:solidFill>
              <a:srgbClr val="000000"/>
            </a:solidFill>
            <a:latin typeface="Arial" pitchFamily="34" charset="0"/>
            <a:cs typeface="Arial" pitchFamily="34" charset="0"/>
          </a:endParaRPr>
        </a:p>
      </xdr:txBody>
    </xdr:sp>
    <xdr:clientData/>
  </xdr:twoCellAnchor>
  <xdr:twoCellAnchor>
    <xdr:from>
      <xdr:col>20</xdr:col>
      <xdr:colOff>366817</xdr:colOff>
      <xdr:row>20</xdr:row>
      <xdr:rowOff>42569</xdr:rowOff>
    </xdr:from>
    <xdr:to>
      <xdr:col>21</xdr:col>
      <xdr:colOff>268980</xdr:colOff>
      <xdr:row>21</xdr:row>
      <xdr:rowOff>43965</xdr:rowOff>
    </xdr:to>
    <xdr:sp macro="" textlink="'Variable Mgmt'!C234">
      <xdr:nvSpPr>
        <xdr:cNvPr id="91" name="Text Box 265"/>
        <xdr:cNvSpPr txBox="1">
          <a:spLocks noChangeArrowheads="1" noTextEdit="1"/>
        </xdr:cNvSpPr>
      </xdr:nvSpPr>
      <xdr:spPr bwMode="auto">
        <a:xfrm>
          <a:off x="12825517" y="4462169"/>
          <a:ext cx="511763" cy="201421"/>
        </a:xfrm>
        <a:prstGeom prst="rect">
          <a:avLst/>
        </a:prstGeom>
        <a:noFill/>
        <a:ln w="9525">
          <a:noFill/>
          <a:miter lim="800000"/>
          <a:headEnd/>
          <a:tailEnd/>
        </a:ln>
      </xdr:spPr>
      <xdr:txBody>
        <a:bodyPr vertOverflow="clip" wrap="square" lIns="27432" tIns="22860" rIns="0" bIns="0" anchor="t" upright="1"/>
        <a:lstStyle/>
        <a:p>
          <a:pPr algn="l" rtl="0">
            <a:defRPr sz="1000"/>
          </a:pPr>
          <a:fld id="{B2616B24-776D-472C-9328-875E07CFCCA9}" type="TxLink">
            <a:rPr lang="en-US" sz="1100" b="0" i="0" u="none" strike="noStrike" baseline="0">
              <a:solidFill>
                <a:srgbClr val="000000"/>
              </a:solidFill>
              <a:latin typeface="Arial"/>
              <a:cs typeface="Arial"/>
            </a:rPr>
            <a:pPr algn="l" rtl="0">
              <a:defRPr sz="1000"/>
            </a:pPr>
            <a:t>12.1kΩ</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13</xdr:col>
      <xdr:colOff>390526</xdr:colOff>
      <xdr:row>8</xdr:row>
      <xdr:rowOff>14707</xdr:rowOff>
    </xdr:from>
    <xdr:to>
      <xdr:col>15</xdr:col>
      <xdr:colOff>200026</xdr:colOff>
      <xdr:row>9</xdr:row>
      <xdr:rowOff>100569</xdr:rowOff>
    </xdr:to>
    <xdr:sp macro="" textlink="'Variable Mgmt'!B199">
      <xdr:nvSpPr>
        <xdr:cNvPr id="35" name="Text Box 283"/>
        <xdr:cNvSpPr txBox="1">
          <a:spLocks noChangeArrowheads="1" noTextEdit="1"/>
        </xdr:cNvSpPr>
      </xdr:nvSpPr>
      <xdr:spPr bwMode="auto">
        <a:xfrm>
          <a:off x="8324851" y="1986382"/>
          <a:ext cx="1028700" cy="285887"/>
        </a:xfrm>
        <a:prstGeom prst="rect">
          <a:avLst/>
        </a:prstGeom>
        <a:noFill/>
        <a:ln w="9525">
          <a:noFill/>
          <a:miter lim="800000"/>
          <a:headEnd/>
          <a:tailEnd/>
        </a:ln>
      </xdr:spPr>
      <xdr:txBody>
        <a:bodyPr vertOverflow="clip" wrap="square" lIns="27432" tIns="22860" rIns="0" bIns="0" anchor="t" upright="1"/>
        <a:lstStyle/>
        <a:p>
          <a:pPr algn="l" rtl="0">
            <a:defRPr sz="1000"/>
          </a:pPr>
          <a:fld id="{47315316-35F3-49E7-A4CE-EA42773D1FAE}" type="TxLink">
            <a:rPr lang="en-US" sz="1200" b="1" i="0" u="none" strike="noStrike">
              <a:solidFill>
                <a:srgbClr val="000000"/>
              </a:solidFill>
              <a:latin typeface="Arial"/>
              <a:cs typeface="Arial"/>
            </a:rPr>
            <a:pPr algn="l" rtl="0">
              <a:defRPr sz="1000"/>
            </a:pPr>
            <a:t>9V...42V</a:t>
          </a:fld>
          <a:endParaRPr lang="en-US" sz="1200" b="1" i="0" strike="noStrike">
            <a:solidFill>
              <a:srgbClr val="00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27</xdr:row>
          <xdr:rowOff>0</xdr:rowOff>
        </xdr:from>
        <xdr:to>
          <xdr:col>5</xdr:col>
          <xdr:colOff>276225</xdr:colOff>
          <xdr:row>28</xdr:row>
          <xdr:rowOff>28575</xdr:rowOff>
        </xdr:to>
        <xdr:sp macro="" textlink="">
          <xdr:nvSpPr>
            <xdr:cNvPr id="672935" name="Drop Down 167" hidden="1">
              <a:extLst>
                <a:ext uri="{63B3BB69-23CF-44E3-9099-C40C66FF867C}">
                  <a14:compatExt spid="_x0000_s672935"/>
                </a:ext>
              </a:extLst>
            </xdr:cNvPr>
            <xdr:cNvSpPr/>
          </xdr:nvSpPr>
          <xdr:spPr>
            <a:xfrm>
              <a:off x="0" y="0"/>
              <a:ext cx="0" cy="0"/>
            </a:xfrm>
            <a:prstGeom prst="rect">
              <a:avLst/>
            </a:prstGeom>
          </xdr:spPr>
        </xdr:sp>
        <xdr:clientData/>
      </xdr:twoCellAnchor>
    </mc:Choice>
    <mc:Fallback/>
  </mc:AlternateContent>
  <xdr:twoCellAnchor>
    <xdr:from>
      <xdr:col>19</xdr:col>
      <xdr:colOff>345191</xdr:colOff>
      <xdr:row>18</xdr:row>
      <xdr:rowOff>179673</xdr:rowOff>
    </xdr:from>
    <xdr:to>
      <xdr:col>20</xdr:col>
      <xdr:colOff>66463</xdr:colOff>
      <xdr:row>20</xdr:row>
      <xdr:rowOff>31513</xdr:rowOff>
    </xdr:to>
    <xdr:sp macro="" textlink="'Variable Mgmt'!C226">
      <xdr:nvSpPr>
        <xdr:cNvPr id="43" name="Text Box 225"/>
        <xdr:cNvSpPr txBox="1">
          <a:spLocks noChangeArrowheads="1"/>
        </xdr:cNvSpPr>
      </xdr:nvSpPr>
      <xdr:spPr bwMode="auto">
        <a:xfrm>
          <a:off x="12194291" y="4199223"/>
          <a:ext cx="330872" cy="251890"/>
        </a:xfrm>
        <a:prstGeom prst="rect">
          <a:avLst/>
        </a:prstGeom>
        <a:noFill/>
        <a:ln w="9525">
          <a:noFill/>
          <a:miter lim="800000"/>
          <a:headEnd/>
          <a:tailEnd/>
        </a:ln>
      </xdr:spPr>
      <xdr:txBody>
        <a:bodyPr vertOverflow="clip" wrap="square" lIns="27432" tIns="27432" rIns="0" bIns="0" anchor="ctr" upright="1"/>
        <a:lstStyle/>
        <a:p>
          <a:pPr algn="l" rtl="0">
            <a:defRPr sz="1000"/>
          </a:pPr>
          <a:fld id="{C394427D-AAFB-4910-BFD4-26E4AF094E1D}" type="TxLink">
            <a:rPr lang="en-US" sz="1000" b="0" i="0" u="none" strike="noStrike">
              <a:solidFill>
                <a:srgbClr val="000000"/>
              </a:solidFill>
              <a:latin typeface="Arial"/>
              <a:cs typeface="Arial"/>
            </a:rPr>
            <a:pPr algn="l" rtl="0">
              <a:defRPr sz="1000"/>
            </a:pPr>
            <a:t>Rtc</a:t>
          </a:fld>
          <a:endParaRPr lang="en-US" sz="1100" b="0" i="0" strike="noStrike" baseline="-25000">
            <a:solidFill>
              <a:srgbClr val="000000"/>
            </a:solidFill>
            <a:latin typeface="Arial" pitchFamily="34" charset="0"/>
            <a:cs typeface="Arial" pitchFamily="34" charset="0"/>
          </a:endParaRPr>
        </a:p>
      </xdr:txBody>
    </xdr:sp>
    <xdr:clientData/>
  </xdr:twoCellAnchor>
  <xdr:twoCellAnchor>
    <xdr:from>
      <xdr:col>19</xdr:col>
      <xdr:colOff>294863</xdr:colOff>
      <xdr:row>20</xdr:row>
      <xdr:rowOff>24818</xdr:rowOff>
    </xdr:from>
    <xdr:to>
      <xdr:col>20</xdr:col>
      <xdr:colOff>200643</xdr:colOff>
      <xdr:row>21</xdr:row>
      <xdr:rowOff>57525</xdr:rowOff>
    </xdr:to>
    <xdr:sp macro="" textlink="'Variable Mgmt'!B226">
      <xdr:nvSpPr>
        <xdr:cNvPr id="44" name="Text Box 268"/>
        <xdr:cNvSpPr txBox="1">
          <a:spLocks noChangeArrowheads="1" noTextEdit="1"/>
        </xdr:cNvSpPr>
      </xdr:nvSpPr>
      <xdr:spPr bwMode="auto">
        <a:xfrm>
          <a:off x="12143963" y="4444418"/>
          <a:ext cx="515380" cy="232732"/>
        </a:xfrm>
        <a:prstGeom prst="rect">
          <a:avLst/>
        </a:prstGeom>
        <a:noFill/>
        <a:ln w="9525">
          <a:noFill/>
          <a:miter lim="800000"/>
          <a:headEnd/>
          <a:tailEnd/>
        </a:ln>
      </xdr:spPr>
      <xdr:txBody>
        <a:bodyPr vertOverflow="clip" wrap="square" lIns="27432" tIns="22860" rIns="0" bIns="0" anchor="ctr" upright="1"/>
        <a:lstStyle/>
        <a:p>
          <a:pPr algn="l" rtl="0">
            <a:defRPr sz="1000"/>
          </a:pPr>
          <a:fld id="{35437053-6AF1-4CB6-8BC9-CEEF911045AA}" type="TxLink">
            <a:rPr lang="en-US" sz="1100" b="0" i="0" u="none" strike="noStrike">
              <a:solidFill>
                <a:srgbClr val="000000"/>
              </a:solidFill>
              <a:latin typeface="Arial"/>
              <a:cs typeface="Arial"/>
            </a:rPr>
            <a:pPr algn="l" rtl="0">
              <a:defRPr sz="1000"/>
            </a:pPr>
            <a:t>243kΩ</a:t>
          </a:fld>
          <a:endParaRPr lang="el-GR" sz="1100" b="0" i="0" strike="noStrike">
            <a:solidFill>
              <a:srgbClr val="0000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33</xdr:row>
          <xdr:rowOff>0</xdr:rowOff>
        </xdr:from>
        <xdr:to>
          <xdr:col>5</xdr:col>
          <xdr:colOff>257175</xdr:colOff>
          <xdr:row>33</xdr:row>
          <xdr:rowOff>200025</xdr:rowOff>
        </xdr:to>
        <xdr:sp macro="" textlink="">
          <xdr:nvSpPr>
            <xdr:cNvPr id="673043" name="Drop Down 275" hidden="1">
              <a:extLst>
                <a:ext uri="{63B3BB69-23CF-44E3-9099-C40C66FF867C}">
                  <a14:compatExt spid="_x0000_s673043"/>
                </a:ext>
              </a:extLst>
            </xdr:cNvPr>
            <xdr:cNvSpPr/>
          </xdr:nvSpPr>
          <xdr:spPr>
            <a:xfrm>
              <a:off x="0" y="0"/>
              <a:ext cx="0" cy="0"/>
            </a:xfrm>
            <a:prstGeom prst="rect">
              <a:avLst/>
            </a:prstGeom>
          </xdr:spPr>
        </xdr:sp>
        <xdr:clientData/>
      </xdr:twoCellAnchor>
    </mc:Choice>
    <mc:Fallback/>
  </mc:AlternateContent>
  <xdr:twoCellAnchor>
    <xdr:from>
      <xdr:col>15</xdr:col>
      <xdr:colOff>355276</xdr:colOff>
      <xdr:row>9</xdr:row>
      <xdr:rowOff>29108</xdr:rowOff>
    </xdr:from>
    <xdr:to>
      <xdr:col>16</xdr:col>
      <xdr:colOff>81051</xdr:colOff>
      <xdr:row>10</xdr:row>
      <xdr:rowOff>59124</xdr:rowOff>
    </xdr:to>
    <xdr:sp macro="" textlink="'Variable Mgmt'!C229">
      <xdr:nvSpPr>
        <xdr:cNvPr id="48" name="Text Box 264"/>
        <xdr:cNvSpPr txBox="1">
          <a:spLocks noChangeArrowheads="1" noTextEdit="1"/>
        </xdr:cNvSpPr>
      </xdr:nvSpPr>
      <xdr:spPr bwMode="auto">
        <a:xfrm>
          <a:off x="9508801" y="2200808"/>
          <a:ext cx="402050" cy="230041"/>
        </a:xfrm>
        <a:prstGeom prst="rect">
          <a:avLst/>
        </a:prstGeom>
        <a:noFill/>
        <a:ln w="9525">
          <a:noFill/>
          <a:miter lim="800000"/>
          <a:headEnd/>
          <a:tailEnd/>
        </a:ln>
      </xdr:spPr>
      <xdr:txBody>
        <a:bodyPr vertOverflow="clip" wrap="square" lIns="27432" tIns="22860" rIns="0" bIns="0" anchor="ctr" upright="1"/>
        <a:lstStyle/>
        <a:p>
          <a:pPr algn="l" rtl="0">
            <a:defRPr sz="1000"/>
          </a:pPr>
          <a:fld id="{31380AD2-7EE8-49DF-ADF3-9022D781233D}" type="TxLink">
            <a:rPr lang="en-US" sz="1000" b="0" i="0" u="none" strike="noStrike" baseline="0">
              <a:solidFill>
                <a:srgbClr val="000000"/>
              </a:solidFill>
              <a:latin typeface="Arial"/>
              <a:cs typeface="Arial"/>
            </a:rPr>
            <a:pPr algn="l" rtl="0">
              <a:defRPr sz="1000"/>
            </a:pPr>
            <a:t>Ruv1</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15</xdr:col>
      <xdr:colOff>355276</xdr:colOff>
      <xdr:row>14</xdr:row>
      <xdr:rowOff>23943</xdr:rowOff>
    </xdr:from>
    <xdr:to>
      <xdr:col>16</xdr:col>
      <xdr:colOff>103031</xdr:colOff>
      <xdr:row>14</xdr:row>
      <xdr:rowOff>213188</xdr:rowOff>
    </xdr:to>
    <xdr:sp macro="" textlink="'Variable Mgmt'!D229">
      <xdr:nvSpPr>
        <xdr:cNvPr id="50" name="Text Box 264"/>
        <xdr:cNvSpPr txBox="1">
          <a:spLocks noChangeArrowheads="1" noTextEdit="1"/>
        </xdr:cNvSpPr>
      </xdr:nvSpPr>
      <xdr:spPr bwMode="auto">
        <a:xfrm>
          <a:off x="9508801" y="3195768"/>
          <a:ext cx="424030" cy="189245"/>
        </a:xfrm>
        <a:prstGeom prst="rect">
          <a:avLst/>
        </a:prstGeom>
        <a:noFill/>
        <a:ln w="9525">
          <a:noFill/>
          <a:miter lim="800000"/>
          <a:headEnd/>
          <a:tailEnd/>
        </a:ln>
      </xdr:spPr>
      <xdr:txBody>
        <a:bodyPr vertOverflow="clip" wrap="square" lIns="27432" tIns="22860" rIns="0" bIns="0" anchor="ctr" upright="1"/>
        <a:lstStyle/>
        <a:p>
          <a:pPr algn="l" rtl="0">
            <a:defRPr sz="1000"/>
          </a:pPr>
          <a:fld id="{873432C6-E14A-45C8-BEDA-C8EFF8641C5C}" type="TxLink">
            <a:rPr lang="en-US" sz="1000" b="0" i="0" u="none" strike="noStrike" baseline="0">
              <a:solidFill>
                <a:srgbClr val="000000"/>
              </a:solidFill>
              <a:latin typeface="Arial"/>
              <a:cs typeface="Arial"/>
            </a:rPr>
            <a:pPr algn="l" rtl="0">
              <a:defRPr sz="1000"/>
            </a:pPr>
            <a:t>Ruv2</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15</xdr:col>
      <xdr:colOff>305571</xdr:colOff>
      <xdr:row>19</xdr:row>
      <xdr:rowOff>153969</xdr:rowOff>
    </xdr:from>
    <xdr:to>
      <xdr:col>16</xdr:col>
      <xdr:colOff>73264</xdr:colOff>
      <xdr:row>21</xdr:row>
      <xdr:rowOff>95474</xdr:rowOff>
    </xdr:to>
    <xdr:sp macro="" textlink="'Variable Mgmt'!C239">
      <xdr:nvSpPr>
        <xdr:cNvPr id="49" name="Text Box 281"/>
        <xdr:cNvSpPr txBox="1">
          <a:spLocks noChangeArrowheads="1" noTextEdit="1"/>
        </xdr:cNvSpPr>
      </xdr:nvSpPr>
      <xdr:spPr bwMode="auto">
        <a:xfrm>
          <a:off x="9459096" y="4373544"/>
          <a:ext cx="443968" cy="341555"/>
        </a:xfrm>
        <a:prstGeom prst="rect">
          <a:avLst/>
        </a:prstGeom>
        <a:noFill/>
        <a:ln w="9525">
          <a:noFill/>
          <a:miter lim="800000"/>
          <a:headEnd/>
          <a:tailEnd/>
        </a:ln>
      </xdr:spPr>
      <xdr:txBody>
        <a:bodyPr vertOverflow="clip" wrap="square" lIns="27432" tIns="22860" rIns="0" bIns="0" anchor="ctr" upright="1"/>
        <a:lstStyle/>
        <a:p>
          <a:pPr algn="l" rtl="0">
            <a:defRPr sz="1000"/>
          </a:pPr>
          <a:fld id="{B81C36CF-66FD-4734-B04F-DAE82AF849A9}" type="TxLink">
            <a:rPr lang="en-US" sz="1100" b="0" i="0" u="none" strike="noStrike">
              <a:solidFill>
                <a:srgbClr val="000000"/>
              </a:solidFill>
              <a:latin typeface="Arial"/>
              <a:cs typeface="Arial"/>
            </a:rPr>
            <a:pPr algn="l" rtl="0">
              <a:defRPr sz="1000"/>
            </a:pPr>
            <a:t>Css</a:t>
          </a:fld>
          <a:endParaRPr lang="en-US" sz="1100" b="0" i="0" strike="noStrike">
            <a:solidFill>
              <a:srgbClr val="000000"/>
            </a:solidFill>
            <a:latin typeface="Arial" pitchFamily="34" charset="0"/>
            <a:cs typeface="Arial" pitchFamily="34" charset="0"/>
          </a:endParaRPr>
        </a:p>
      </xdr:txBody>
    </xdr:sp>
    <xdr:clientData/>
  </xdr:twoCellAnchor>
  <xdr:twoCellAnchor editAs="oneCell">
    <xdr:from>
      <xdr:col>0</xdr:col>
      <xdr:colOff>78143</xdr:colOff>
      <xdr:row>0</xdr:row>
      <xdr:rowOff>32845</xdr:rowOff>
    </xdr:from>
    <xdr:to>
      <xdr:col>3</xdr:col>
      <xdr:colOff>351439</xdr:colOff>
      <xdr:row>0</xdr:row>
      <xdr:rowOff>571501</xdr:rowOff>
    </xdr:to>
    <xdr:pic macro="[0]!OpenLM27403ProductFolder">
      <xdr:nvPicPr>
        <xdr:cNvPr id="4" name="Picture 3">
          <a:hlinkClick xmlns:r="http://schemas.openxmlformats.org/officeDocument/2006/relationships" r:id="rId3"/>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4896" b="8304"/>
        <a:stretch/>
      </xdr:blipFill>
      <xdr:spPr>
        <a:xfrm>
          <a:off x="78143" y="32845"/>
          <a:ext cx="2283071" cy="538656"/>
        </a:xfrm>
        <a:prstGeom prst="rect">
          <a:avLst/>
        </a:prstGeom>
      </xdr:spPr>
    </xdr:pic>
    <xdr:clientData/>
  </xdr:twoCellAnchor>
  <xdr:twoCellAnchor editAs="oneCell">
    <xdr:from>
      <xdr:col>21</xdr:col>
      <xdr:colOff>400381</xdr:colOff>
      <xdr:row>0</xdr:row>
      <xdr:rowOff>123825</xdr:rowOff>
    </xdr:from>
    <xdr:to>
      <xdr:col>23</xdr:col>
      <xdr:colOff>432054</xdr:colOff>
      <xdr:row>3</xdr:row>
      <xdr:rowOff>123825</xdr:rowOff>
    </xdr:to>
    <xdr:pic macro="[0]!OpenLM27403ProductFolder">
      <xdr:nvPicPr>
        <xdr:cNvPr id="53" name="Picture 52">
          <a:hlinkClick xmlns:r="http://schemas.openxmlformats.org/officeDocument/2006/relationships" r:id="rId5"/>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478456" y="123825"/>
          <a:ext cx="1250873" cy="971550"/>
        </a:xfrm>
        <a:prstGeom prst="rect">
          <a:avLst/>
        </a:prstGeom>
      </xdr:spPr>
    </xdr:pic>
    <xdr:clientData/>
  </xdr:twoCellAnchor>
  <xdr:twoCellAnchor editAs="oneCell">
    <xdr:from>
      <xdr:col>23</xdr:col>
      <xdr:colOff>514350</xdr:colOff>
      <xdr:row>0</xdr:row>
      <xdr:rowOff>117830</xdr:rowOff>
    </xdr:from>
    <xdr:to>
      <xdr:col>25</xdr:col>
      <xdr:colOff>542193</xdr:colOff>
      <xdr:row>3</xdr:row>
      <xdr:rowOff>120958</xdr:rowOff>
    </xdr:to>
    <xdr:pic macro="[0]!OpenLM27403ProductFolder">
      <xdr:nvPicPr>
        <xdr:cNvPr id="54" name="Picture 53">
          <a:hlinkClick xmlns:r="http://schemas.openxmlformats.org/officeDocument/2006/relationships" r:id="rId7"/>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6787446" y="117830"/>
          <a:ext cx="1244112" cy="97028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9525</xdr:colOff>
          <xdr:row>11</xdr:row>
          <xdr:rowOff>0</xdr:rowOff>
        </xdr:from>
        <xdr:to>
          <xdr:col>12</xdr:col>
          <xdr:colOff>66675</xdr:colOff>
          <xdr:row>12</xdr:row>
          <xdr:rowOff>9525</xdr:rowOff>
        </xdr:to>
        <xdr:sp macro="" textlink="">
          <xdr:nvSpPr>
            <xdr:cNvPr id="697343" name="Drop Down 3071" hidden="1">
              <a:extLst>
                <a:ext uri="{63B3BB69-23CF-44E3-9099-C40C66FF867C}">
                  <a14:compatExt spid="_x0000_s697343"/>
                </a:ext>
              </a:extLst>
            </xdr:cNvPr>
            <xdr:cNvSpPr/>
          </xdr:nvSpPr>
          <xdr:spPr>
            <a:xfrm>
              <a:off x="0" y="0"/>
              <a:ext cx="0" cy="0"/>
            </a:xfrm>
            <a:prstGeom prst="rect">
              <a:avLst/>
            </a:prstGeom>
          </xdr:spPr>
        </xdr:sp>
        <xdr:clientData/>
      </xdr:twoCellAnchor>
    </mc:Choice>
    <mc:Fallback/>
  </mc:AlternateContent>
  <xdr:twoCellAnchor>
    <xdr:from>
      <xdr:col>19</xdr:col>
      <xdr:colOff>348376</xdr:colOff>
      <xdr:row>14</xdr:row>
      <xdr:rowOff>69974</xdr:rowOff>
    </xdr:from>
    <xdr:to>
      <xdr:col>20</xdr:col>
      <xdr:colOff>61616</xdr:colOff>
      <xdr:row>15</xdr:row>
      <xdr:rowOff>61702</xdr:rowOff>
    </xdr:to>
    <xdr:sp macro="" textlink="">
      <xdr:nvSpPr>
        <xdr:cNvPr id="57" name="Text Box 244"/>
        <xdr:cNvSpPr txBox="1">
          <a:spLocks noChangeArrowheads="1"/>
        </xdr:cNvSpPr>
      </xdr:nvSpPr>
      <xdr:spPr bwMode="auto">
        <a:xfrm>
          <a:off x="12197476" y="3241799"/>
          <a:ext cx="322840" cy="239378"/>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FB</a:t>
          </a:r>
        </a:p>
      </xdr:txBody>
    </xdr:sp>
    <xdr:clientData/>
  </xdr:twoCellAnchor>
  <xdr:twoCellAnchor>
    <xdr:from>
      <xdr:col>20</xdr:col>
      <xdr:colOff>374043</xdr:colOff>
      <xdr:row>19</xdr:row>
      <xdr:rowOff>1514</xdr:rowOff>
    </xdr:from>
    <xdr:to>
      <xdr:col>21</xdr:col>
      <xdr:colOff>148739</xdr:colOff>
      <xdr:row>20</xdr:row>
      <xdr:rowOff>34871</xdr:rowOff>
    </xdr:to>
    <xdr:sp macro="" textlink="">
      <xdr:nvSpPr>
        <xdr:cNvPr id="58" name="Text Box 244"/>
        <xdr:cNvSpPr txBox="1">
          <a:spLocks noChangeArrowheads="1"/>
        </xdr:cNvSpPr>
      </xdr:nvSpPr>
      <xdr:spPr bwMode="auto">
        <a:xfrm>
          <a:off x="12832743" y="4221089"/>
          <a:ext cx="384296" cy="233382"/>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SET</a:t>
          </a:r>
        </a:p>
      </xdr:txBody>
    </xdr:sp>
    <xdr:clientData/>
  </xdr:twoCellAnchor>
  <xdr:twoCellAnchor>
    <xdr:from>
      <xdr:col>18</xdr:col>
      <xdr:colOff>548052</xdr:colOff>
      <xdr:row>8</xdr:row>
      <xdr:rowOff>15972</xdr:rowOff>
    </xdr:from>
    <xdr:to>
      <xdr:col>19</xdr:col>
      <xdr:colOff>346548</xdr:colOff>
      <xdr:row>9</xdr:row>
      <xdr:rowOff>76319</xdr:rowOff>
    </xdr:to>
    <xdr:sp macro="" textlink="">
      <xdr:nvSpPr>
        <xdr:cNvPr id="60" name="Text Box 235"/>
        <xdr:cNvSpPr txBox="1">
          <a:spLocks noChangeArrowheads="1"/>
        </xdr:cNvSpPr>
      </xdr:nvSpPr>
      <xdr:spPr bwMode="auto">
        <a:xfrm>
          <a:off x="11730402" y="1987647"/>
          <a:ext cx="465246" cy="260372"/>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CLAMP</a:t>
          </a:r>
        </a:p>
      </xdr:txBody>
    </xdr:sp>
    <xdr:clientData/>
  </xdr:twoCellAnchor>
  <xdr:twoCellAnchor>
    <xdr:from>
      <xdr:col>19</xdr:col>
      <xdr:colOff>164558</xdr:colOff>
      <xdr:row>11</xdr:row>
      <xdr:rowOff>69250</xdr:rowOff>
    </xdr:from>
    <xdr:to>
      <xdr:col>19</xdr:col>
      <xdr:colOff>436580</xdr:colOff>
      <xdr:row>12</xdr:row>
      <xdr:rowOff>119548</xdr:rowOff>
    </xdr:to>
    <xdr:sp macro="" textlink="">
      <xdr:nvSpPr>
        <xdr:cNvPr id="61" name="Text Box 235"/>
        <xdr:cNvSpPr txBox="1">
          <a:spLocks noChangeArrowheads="1"/>
        </xdr:cNvSpPr>
      </xdr:nvSpPr>
      <xdr:spPr bwMode="auto">
        <a:xfrm>
          <a:off x="12013658" y="2641000"/>
          <a:ext cx="272022" cy="250323"/>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F</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30</xdr:row>
          <xdr:rowOff>9525</xdr:rowOff>
        </xdr:from>
        <xdr:to>
          <xdr:col>5</xdr:col>
          <xdr:colOff>266700</xdr:colOff>
          <xdr:row>31</xdr:row>
          <xdr:rowOff>9525</xdr:rowOff>
        </xdr:to>
        <xdr:sp macro="" textlink="">
          <xdr:nvSpPr>
            <xdr:cNvPr id="714798" name="Drop Down 3118" hidden="1">
              <a:extLst>
                <a:ext uri="{63B3BB69-23CF-44E3-9099-C40C66FF867C}">
                  <a14:compatExt spid="_x0000_s714798"/>
                </a:ext>
              </a:extLst>
            </xdr:cNvPr>
            <xdr:cNvSpPr/>
          </xdr:nvSpPr>
          <xdr:spPr>
            <a:xfrm>
              <a:off x="0" y="0"/>
              <a:ext cx="0" cy="0"/>
            </a:xfrm>
            <a:prstGeom prst="rect">
              <a:avLst/>
            </a:prstGeom>
          </xdr:spPr>
        </xdr:sp>
        <xdr:clientData/>
      </xdr:twoCellAnchor>
    </mc:Choice>
    <mc:Fallback/>
  </mc:AlternateContent>
  <xdr:twoCellAnchor>
    <xdr:from>
      <xdr:col>20</xdr:col>
      <xdr:colOff>304800</xdr:colOff>
      <xdr:row>10</xdr:row>
      <xdr:rowOff>191738</xdr:rowOff>
    </xdr:from>
    <xdr:to>
      <xdr:col>21</xdr:col>
      <xdr:colOff>447675</xdr:colOff>
      <xdr:row>12</xdr:row>
      <xdr:rowOff>38100</xdr:rowOff>
    </xdr:to>
    <xdr:sp macro="" textlink="'Variable Mgmt'!B194">
      <xdr:nvSpPr>
        <xdr:cNvPr id="62" name="Text Box 265"/>
        <xdr:cNvSpPr txBox="1">
          <a:spLocks noChangeArrowheads="1" noTextEdit="1"/>
        </xdr:cNvSpPr>
      </xdr:nvSpPr>
      <xdr:spPr bwMode="auto">
        <a:xfrm>
          <a:off x="12763500" y="2563463"/>
          <a:ext cx="752475" cy="246412"/>
        </a:xfrm>
        <a:prstGeom prst="rect">
          <a:avLst/>
        </a:prstGeom>
        <a:noFill/>
        <a:ln w="9525">
          <a:noFill/>
          <a:miter lim="800000"/>
          <a:headEnd/>
          <a:tailEnd/>
        </a:ln>
      </xdr:spPr>
      <xdr:txBody>
        <a:bodyPr vertOverflow="clip" wrap="square" lIns="27432" tIns="22860" rIns="0" bIns="0" anchor="t" upright="1"/>
        <a:lstStyle/>
        <a:p>
          <a:pPr algn="ctr" rtl="0">
            <a:defRPr sz="1000"/>
          </a:pPr>
          <a:fld id="{4DF3E085-FEDD-406F-9003-D894075812A3}" type="TxLink">
            <a:rPr lang="en-US" sz="1000" b="0" i="0" u="none" strike="noStrike" baseline="0">
              <a:solidFill>
                <a:srgbClr val="000000"/>
              </a:solidFill>
              <a:latin typeface="Arial"/>
              <a:cs typeface="Arial"/>
            </a:rPr>
            <a:pPr algn="ctr" rtl="0">
              <a:defRPr sz="1000"/>
            </a:pPr>
            <a:t>1 : 1</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25</xdr:col>
      <xdr:colOff>571500</xdr:colOff>
      <xdr:row>27</xdr:row>
      <xdr:rowOff>113959</xdr:rowOff>
    </xdr:from>
    <xdr:to>
      <xdr:col>25</xdr:col>
      <xdr:colOff>1049263</xdr:colOff>
      <xdr:row>29</xdr:row>
      <xdr:rowOff>12359</xdr:rowOff>
    </xdr:to>
    <xdr:sp macro="" textlink="'Variable Mgmt'!$B$247">
      <xdr:nvSpPr>
        <xdr:cNvPr id="56" name="Text Box 24"/>
        <xdr:cNvSpPr txBox="1">
          <a:spLocks noChangeArrowheads="1" noTextEdit="1"/>
        </xdr:cNvSpPr>
      </xdr:nvSpPr>
      <xdr:spPr bwMode="auto">
        <a:xfrm>
          <a:off x="16078200" y="5962309"/>
          <a:ext cx="477763" cy="279400"/>
        </a:xfrm>
        <a:prstGeom prst="rect">
          <a:avLst/>
        </a:prstGeom>
        <a:noFill/>
        <a:ln w="9525">
          <a:noFill/>
          <a:miter lim="800000"/>
          <a:headEnd/>
          <a:tailEnd/>
        </a:ln>
      </xdr:spPr>
      <xdr:txBody>
        <a:bodyPr wrap="square" lIns="27432" tIns="22860" rIns="0"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fld id="{1F0AFB1C-0795-4024-9821-D34D86340D40}" type="TxLink">
            <a:rPr lang="en-US" sz="1000" b="0" i="0" u="none" strike="noStrike" baseline="0">
              <a:solidFill>
                <a:srgbClr val="000000"/>
              </a:solidFill>
              <a:latin typeface="Arial"/>
              <a:cs typeface="Arial"/>
            </a:rPr>
            <a:pPr algn="l" rtl="0">
              <a:defRPr sz="1000"/>
            </a:pPr>
            <a:t>91.3%</a:t>
          </a:fld>
          <a:endParaRPr lang="en-US" sz="1000" b="1" i="0" u="none" strike="noStrike" baseline="0">
            <a:solidFill>
              <a:srgbClr val="000000"/>
            </a:solidFill>
            <a:latin typeface="Arial" pitchFamily="34" charset="0"/>
            <a:cs typeface="Arial" pitchFamily="34" charset="0"/>
          </a:endParaRPr>
        </a:p>
      </xdr:txBody>
    </xdr:sp>
    <xdr:clientData/>
  </xdr:twoCellAnchor>
  <xdr:twoCellAnchor>
    <xdr:from>
      <xdr:col>24</xdr:col>
      <xdr:colOff>38389</xdr:colOff>
      <xdr:row>13</xdr:row>
      <xdr:rowOff>88799</xdr:rowOff>
    </xdr:from>
    <xdr:to>
      <xdr:col>25</xdr:col>
      <xdr:colOff>93822</xdr:colOff>
      <xdr:row>14</xdr:row>
      <xdr:rowOff>236764</xdr:rowOff>
    </xdr:to>
    <xdr:sp macro="" textlink="'Variable Mgmt'!B202">
      <xdr:nvSpPr>
        <xdr:cNvPr id="42" name="Text Box 285"/>
        <xdr:cNvSpPr txBox="1">
          <a:spLocks noChangeArrowheads="1" noTextEdit="1"/>
        </xdr:cNvSpPr>
      </xdr:nvSpPr>
      <xdr:spPr bwMode="auto">
        <a:xfrm>
          <a:off x="14935489" y="3060599"/>
          <a:ext cx="665033" cy="347990"/>
        </a:xfrm>
        <a:prstGeom prst="rect">
          <a:avLst/>
        </a:prstGeom>
        <a:noFill/>
        <a:ln w="9525">
          <a:noFill/>
          <a:miter lim="800000"/>
          <a:headEnd/>
          <a:tailEnd/>
        </a:ln>
      </xdr:spPr>
      <xdr:txBody>
        <a:bodyPr vertOverflow="clip" wrap="square" lIns="27432" tIns="22860" rIns="0" bIns="0" anchor="ctr" upright="1"/>
        <a:lstStyle/>
        <a:p>
          <a:pPr algn="l" rtl="0">
            <a:defRPr sz="1000"/>
          </a:pPr>
          <a:fld id="{1EB32AF4-7354-4114-B6DF-5AD8FEB0166D}"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23</xdr:col>
      <xdr:colOff>418167</xdr:colOff>
      <xdr:row>14</xdr:row>
      <xdr:rowOff>147867</xdr:rowOff>
    </xdr:from>
    <xdr:to>
      <xdr:col>24</xdr:col>
      <xdr:colOff>561280</xdr:colOff>
      <xdr:row>15</xdr:row>
      <xdr:rowOff>199064</xdr:rowOff>
    </xdr:to>
    <xdr:sp macro="" textlink="'Variable Mgmt'!B257">
      <xdr:nvSpPr>
        <xdr:cNvPr id="46" name="Text Box 286"/>
        <xdr:cNvSpPr txBox="1">
          <a:spLocks noChangeArrowheads="1" noTextEdit="1"/>
        </xdr:cNvSpPr>
      </xdr:nvSpPr>
      <xdr:spPr bwMode="auto">
        <a:xfrm>
          <a:off x="14705667" y="3319692"/>
          <a:ext cx="752713" cy="298847"/>
        </a:xfrm>
        <a:prstGeom prst="rect">
          <a:avLst/>
        </a:prstGeom>
        <a:noFill/>
        <a:ln w="9525">
          <a:noFill/>
          <a:miter lim="800000"/>
          <a:headEnd/>
          <a:tailEnd/>
        </a:ln>
      </xdr:spPr>
      <xdr:txBody>
        <a:bodyPr vertOverflow="clip" wrap="square" lIns="27432" tIns="22860" rIns="0" bIns="0" anchor="ctr" upright="1"/>
        <a:lstStyle/>
        <a:p>
          <a:pPr algn="ctr" rtl="0">
            <a:defRPr sz="1000"/>
          </a:pPr>
          <a:fld id="{F430775D-5566-4B2B-9D86-4FABD1E02F13}" type="TxLink">
            <a:rPr lang="en-US" sz="1350" b="1" i="0" u="none" strike="noStrike">
              <a:solidFill>
                <a:srgbClr val="FF0000"/>
              </a:solidFill>
              <a:latin typeface="Arial"/>
              <a:cs typeface="Arial"/>
            </a:rPr>
            <a:pPr algn="ctr" rtl="0">
              <a:defRPr sz="1000"/>
            </a:pPr>
            <a:t> </a:t>
          </a:fld>
          <a:endParaRPr lang="en-US" sz="1350" b="1" i="0" strike="noStrike">
            <a:solidFill>
              <a:srgbClr val="FF0000"/>
            </a:solidFill>
            <a:latin typeface="Arial" pitchFamily="34" charset="0"/>
            <a:cs typeface="Arial" pitchFamily="34" charset="0"/>
          </a:endParaRPr>
        </a:p>
      </xdr:txBody>
    </xdr:sp>
    <xdr:clientData/>
  </xdr:twoCellAnchor>
  <xdr:twoCellAnchor>
    <xdr:from>
      <xdr:col>24</xdr:col>
      <xdr:colOff>289</xdr:colOff>
      <xdr:row>15</xdr:row>
      <xdr:rowOff>128260</xdr:rowOff>
    </xdr:from>
    <xdr:to>
      <xdr:col>25</xdr:col>
      <xdr:colOff>55722</xdr:colOff>
      <xdr:row>17</xdr:row>
      <xdr:rowOff>74839</xdr:rowOff>
    </xdr:to>
    <xdr:sp macro="" textlink="'Variable Mgmt'!B203">
      <xdr:nvSpPr>
        <xdr:cNvPr id="47" name="Text Box 285"/>
        <xdr:cNvSpPr txBox="1">
          <a:spLocks noChangeArrowheads="1" noTextEdit="1"/>
        </xdr:cNvSpPr>
      </xdr:nvSpPr>
      <xdr:spPr bwMode="auto">
        <a:xfrm>
          <a:off x="14897389" y="3547735"/>
          <a:ext cx="665033" cy="346629"/>
        </a:xfrm>
        <a:prstGeom prst="rect">
          <a:avLst/>
        </a:prstGeom>
        <a:noFill/>
        <a:ln w="9525">
          <a:noFill/>
          <a:miter lim="800000"/>
          <a:headEnd/>
          <a:tailEnd/>
        </a:ln>
      </xdr:spPr>
      <xdr:txBody>
        <a:bodyPr vertOverflow="clip" wrap="square" lIns="27432" tIns="22860" rIns="0" bIns="0" anchor="ctr" upright="1"/>
        <a:lstStyle/>
        <a:p>
          <a:pPr algn="l" rtl="0">
            <a:defRPr sz="1000"/>
          </a:pPr>
          <a:fld id="{6CC6AC32-C574-4CE6-AE26-39476DAD0777}"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23</xdr:col>
      <xdr:colOff>437217</xdr:colOff>
      <xdr:row>16</xdr:row>
      <xdr:rowOff>190049</xdr:rowOff>
    </xdr:from>
    <xdr:to>
      <xdr:col>24</xdr:col>
      <xdr:colOff>580330</xdr:colOff>
      <xdr:row>18</xdr:row>
      <xdr:rowOff>90207</xdr:rowOff>
    </xdr:to>
    <xdr:sp macro="" textlink="'Variable Mgmt'!B258">
      <xdr:nvSpPr>
        <xdr:cNvPr id="51" name="Text Box 286"/>
        <xdr:cNvSpPr txBox="1">
          <a:spLocks noChangeArrowheads="1" noTextEdit="1"/>
        </xdr:cNvSpPr>
      </xdr:nvSpPr>
      <xdr:spPr bwMode="auto">
        <a:xfrm>
          <a:off x="14724717" y="3809549"/>
          <a:ext cx="752713" cy="300208"/>
        </a:xfrm>
        <a:prstGeom prst="rect">
          <a:avLst/>
        </a:prstGeom>
        <a:noFill/>
        <a:ln w="9525">
          <a:noFill/>
          <a:miter lim="800000"/>
          <a:headEnd/>
          <a:tailEnd/>
        </a:ln>
      </xdr:spPr>
      <xdr:txBody>
        <a:bodyPr vertOverflow="clip" wrap="square" lIns="27432" tIns="22860" rIns="0" bIns="0" anchor="ctr" upright="1"/>
        <a:lstStyle/>
        <a:p>
          <a:pPr algn="ctr" rtl="0">
            <a:defRPr sz="1000"/>
          </a:pPr>
          <a:fld id="{21AE0BE5-7426-43AE-A5A8-768A4DEE6C58}" type="TxLink">
            <a:rPr lang="en-US" sz="1350" b="1" i="0" u="none" strike="noStrike">
              <a:solidFill>
                <a:srgbClr val="FF0000"/>
              </a:solidFill>
              <a:latin typeface="Arial"/>
              <a:cs typeface="Arial"/>
            </a:rPr>
            <a:pPr algn="ctr" rtl="0">
              <a:defRPr sz="1000"/>
            </a:pPr>
            <a:t> </a:t>
          </a:fld>
          <a:endParaRPr lang="en-US" sz="1350" b="1" i="0" strike="noStrike">
            <a:solidFill>
              <a:srgbClr val="FF0000"/>
            </a:solidFill>
            <a:latin typeface="Arial" pitchFamily="34" charset="0"/>
            <a:cs typeface="Arial" pitchFamily="34" charset="0"/>
          </a:endParaRPr>
        </a:p>
      </xdr:txBody>
    </xdr:sp>
    <xdr:clientData/>
  </xdr:twoCellAnchor>
  <xdr:twoCellAnchor>
    <xdr:from>
      <xdr:col>23</xdr:col>
      <xdr:colOff>132557</xdr:colOff>
      <xdr:row>14</xdr:row>
      <xdr:rowOff>179147</xdr:rowOff>
    </xdr:from>
    <xdr:to>
      <xdr:col>24</xdr:col>
      <xdr:colOff>16035</xdr:colOff>
      <xdr:row>15</xdr:row>
      <xdr:rowOff>105137</xdr:rowOff>
    </xdr:to>
    <xdr:sp macro="" textlink="'Variable Mgmt'!D206">
      <xdr:nvSpPr>
        <xdr:cNvPr id="55" name="Text Box 267"/>
        <xdr:cNvSpPr txBox="1">
          <a:spLocks noChangeArrowheads="1" noTextEdit="1"/>
        </xdr:cNvSpPr>
      </xdr:nvSpPr>
      <xdr:spPr bwMode="auto">
        <a:xfrm>
          <a:off x="14420057" y="3350972"/>
          <a:ext cx="493078" cy="173640"/>
        </a:xfrm>
        <a:prstGeom prst="rect">
          <a:avLst/>
        </a:prstGeom>
        <a:noFill/>
        <a:ln w="9525">
          <a:noFill/>
          <a:miter lim="800000"/>
          <a:headEnd/>
          <a:tailEnd/>
        </a:ln>
      </xdr:spPr>
      <xdr:txBody>
        <a:bodyPr vertOverflow="clip" wrap="square" lIns="27432" tIns="22860" rIns="0" bIns="0" anchor="ctr" upright="1"/>
        <a:lstStyle/>
        <a:p>
          <a:pPr algn="l" rtl="0">
            <a:defRPr sz="1000"/>
          </a:pPr>
          <a:fld id="{2B13305E-FBF9-43A5-B29E-67B7B248F534}" type="TxLink">
            <a:rPr lang="en-US" sz="1000" b="0" i="0" u="none" strike="noStrike" baseline="0">
              <a:solidFill>
                <a:srgbClr val="000000"/>
              </a:solidFill>
              <a:latin typeface="Arial"/>
              <a:cs typeface="Arial"/>
            </a:rPr>
            <a:pPr algn="l" rtl="0">
              <a:defRPr sz="1000"/>
            </a:pPr>
            <a:t> </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23</xdr:col>
      <xdr:colOff>132557</xdr:colOff>
      <xdr:row>16</xdr:row>
      <xdr:rowOff>141047</xdr:rowOff>
    </xdr:from>
    <xdr:to>
      <xdr:col>24</xdr:col>
      <xdr:colOff>16035</xdr:colOff>
      <xdr:row>17</xdr:row>
      <xdr:rowOff>124187</xdr:rowOff>
    </xdr:to>
    <xdr:sp macro="" textlink="'Variable Mgmt'!C206">
      <xdr:nvSpPr>
        <xdr:cNvPr id="67" name="Text Box 267"/>
        <xdr:cNvSpPr txBox="1">
          <a:spLocks noChangeArrowheads="1" noTextEdit="1"/>
        </xdr:cNvSpPr>
      </xdr:nvSpPr>
      <xdr:spPr bwMode="auto">
        <a:xfrm>
          <a:off x="14420057" y="3760547"/>
          <a:ext cx="493078" cy="183165"/>
        </a:xfrm>
        <a:prstGeom prst="rect">
          <a:avLst/>
        </a:prstGeom>
        <a:noFill/>
        <a:ln w="9525">
          <a:noFill/>
          <a:miter lim="800000"/>
          <a:headEnd/>
          <a:tailEnd/>
        </a:ln>
      </xdr:spPr>
      <xdr:txBody>
        <a:bodyPr vertOverflow="clip" wrap="square" lIns="27432" tIns="22860" rIns="0" bIns="0" anchor="ctr" upright="1"/>
        <a:lstStyle/>
        <a:p>
          <a:pPr algn="l" rtl="0">
            <a:defRPr sz="1000"/>
          </a:pPr>
          <a:fld id="{EB8BEA1C-AFA8-40F4-BE4F-A41F4D085390}" type="TxLink">
            <a:rPr lang="en-US" sz="1100" b="0" i="0" u="none" strike="noStrike" baseline="0">
              <a:solidFill>
                <a:srgbClr val="000000"/>
              </a:solidFill>
              <a:latin typeface="Arial"/>
              <a:cs typeface="Arial"/>
            </a:rPr>
            <a:pPr algn="l" rtl="0">
              <a:defRPr sz="1000"/>
            </a:pPr>
            <a:t> </a:t>
          </a:fld>
          <a:endParaRPr lang="en-US" sz="1400" b="0" i="0" u="none" strike="noStrike" baseline="0">
            <a:solidFill>
              <a:srgbClr val="000000"/>
            </a:solidFill>
            <a:latin typeface="Arial" pitchFamily="34" charset="0"/>
            <a:cs typeface="Arial" pitchFamily="34" charset="0"/>
          </a:endParaRPr>
        </a:p>
      </xdr:txBody>
    </xdr:sp>
    <xdr:clientData/>
  </xdr:twoCellAnchor>
  <xdr:twoCellAnchor>
    <xdr:from>
      <xdr:col>20</xdr:col>
      <xdr:colOff>461791</xdr:colOff>
      <xdr:row>5</xdr:row>
      <xdr:rowOff>140393</xdr:rowOff>
    </xdr:from>
    <xdr:to>
      <xdr:col>21</xdr:col>
      <xdr:colOff>172310</xdr:colOff>
      <xdr:row>7</xdr:row>
      <xdr:rowOff>7039</xdr:rowOff>
    </xdr:to>
    <xdr:sp macro="" textlink="">
      <xdr:nvSpPr>
        <xdr:cNvPr id="52" name="Text Box 244"/>
        <xdr:cNvSpPr txBox="1">
          <a:spLocks noChangeArrowheads="1"/>
        </xdr:cNvSpPr>
      </xdr:nvSpPr>
      <xdr:spPr bwMode="auto">
        <a:xfrm>
          <a:off x="12920491" y="1531043"/>
          <a:ext cx="320119" cy="247646"/>
        </a:xfrm>
        <a:prstGeom prst="rect">
          <a:avLst/>
        </a:prstGeom>
        <a:noFill/>
        <a:ln w="9525">
          <a:noFill/>
          <a:miter lim="800000"/>
          <a:headEnd/>
          <a:tailEnd/>
        </a:ln>
      </xdr:spPr>
      <xdr:txBody>
        <a:bodyPr vertOverflow="clip" wrap="square" lIns="27432" tIns="27432" rIns="0" bIns="0" anchor="t" upright="1"/>
        <a:lstStyle/>
        <a:p>
          <a:pPr algn="ctr" rtl="0">
            <a:defRPr sz="1000"/>
          </a:pPr>
          <a:r>
            <a:rPr lang="en-US" sz="1100" b="0" i="0" strike="noStrike">
              <a:solidFill>
                <a:srgbClr val="000000"/>
              </a:solidFill>
              <a:latin typeface="Arial" pitchFamily="34" charset="0"/>
              <a:cs typeface="Arial" pitchFamily="34" charset="0"/>
            </a:rPr>
            <a:t>T</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190500</xdr:rowOff>
        </xdr:from>
        <xdr:to>
          <xdr:col>5</xdr:col>
          <xdr:colOff>76200</xdr:colOff>
          <xdr:row>8</xdr:row>
          <xdr:rowOff>190500</xdr:rowOff>
        </xdr:to>
        <xdr:sp macro="" textlink="">
          <xdr:nvSpPr>
            <xdr:cNvPr id="715085" name="Drop Down 3405" hidden="1">
              <a:extLst>
                <a:ext uri="{63B3BB69-23CF-44E3-9099-C40C66FF867C}">
                  <a14:compatExt spid="_x0000_s71508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247649</xdr:rowOff>
        </xdr:from>
        <xdr:to>
          <xdr:col>17</xdr:col>
          <xdr:colOff>141358</xdr:colOff>
          <xdr:row>45</xdr:row>
          <xdr:rowOff>104774</xdr:rowOff>
        </xdr:to>
        <xdr:pic>
          <xdr:nvPicPr>
            <xdr:cNvPr id="65" name="Picture 8888"/>
            <xdr:cNvPicPr>
              <a:picLocks noChangeAspect="1" noChangeArrowheads="1"/>
              <a:extLst>
                <a:ext uri="{84589F7E-364E-4C9E-8A38-B11213B215E9}">
                  <a14:cameraTool cellRange="PICTURE2" spid="_x0000_s737030"/>
                </a:ext>
              </a:extLst>
            </xdr:cNvPicPr>
          </xdr:nvPicPr>
          <xdr:blipFill>
            <a:blip xmlns:r="http://schemas.openxmlformats.org/officeDocument/2006/relationships" r:embed="rId9"/>
            <a:srcRect/>
            <a:stretch>
              <a:fillRect/>
            </a:stretch>
          </xdr:blipFill>
          <xdr:spPr bwMode="auto">
            <a:xfrm>
              <a:off x="3962400" y="5448299"/>
              <a:ext cx="6685033" cy="4124325"/>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17</xdr:col>
      <xdr:colOff>95251</xdr:colOff>
      <xdr:row>14</xdr:row>
      <xdr:rowOff>161925</xdr:rowOff>
    </xdr:from>
    <xdr:to>
      <xdr:col>18</xdr:col>
      <xdr:colOff>276226</xdr:colOff>
      <xdr:row>16</xdr:row>
      <xdr:rowOff>28575</xdr:rowOff>
    </xdr:to>
    <xdr:sp macro="" textlink="'Variable Mgmt'!R20">
      <xdr:nvSpPr>
        <xdr:cNvPr id="2" name="TextBox 1"/>
        <xdr:cNvSpPr txBox="1"/>
      </xdr:nvSpPr>
      <xdr:spPr bwMode="auto">
        <a:xfrm>
          <a:off x="10601326" y="3333750"/>
          <a:ext cx="857250" cy="314325"/>
        </a:xfrm>
        <a:prstGeom prst="rect">
          <a:avLst/>
        </a:prstGeom>
        <a:solidFill>
          <a:srgbClr val="CCFFFF"/>
        </a:solidFill>
        <a:ln w="9525">
          <a:noFill/>
          <a:miter lim="800000"/>
          <a:headEnd/>
          <a:tailEnd/>
        </a:ln>
      </xdr:spPr>
      <xdr:txBody>
        <a:bodyPr vertOverflow="clip" horzOverflow="clip" wrap="square" lIns="27432" tIns="27432" rIns="0" bIns="0" rtlCol="0" anchor="ctr" upright="1"/>
        <a:lstStyle/>
        <a:p>
          <a:pPr algn="l" rtl="0"/>
          <a:fld id="{2D1F34BE-62E1-4CF4-9DB2-2839E96E58D3}" type="TxLink">
            <a:rPr lang="en-US" sz="1400" b="1" i="0" u="none" strike="noStrike">
              <a:solidFill>
                <a:srgbClr val="FF0000"/>
              </a:solidFill>
              <a:latin typeface="Arial"/>
              <a:cs typeface="Arial"/>
            </a:rPr>
            <a:pPr algn="l" rtl="0"/>
            <a:t>LM25184</a:t>
          </a:fld>
          <a:endParaRPr lang="en-US" sz="1800" b="1" i="0" strike="noStrike">
            <a:solidFill>
              <a:srgbClr val="FF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4</xdr:row>
          <xdr:rowOff>9525</xdr:rowOff>
        </xdr:from>
        <xdr:to>
          <xdr:col>5</xdr:col>
          <xdr:colOff>266700</xdr:colOff>
          <xdr:row>4</xdr:row>
          <xdr:rowOff>238125</xdr:rowOff>
        </xdr:to>
        <xdr:sp macro="" textlink="">
          <xdr:nvSpPr>
            <xdr:cNvPr id="736565" name="Drop Down 4405" hidden="1">
              <a:extLst>
                <a:ext uri="{63B3BB69-23CF-44E3-9099-C40C66FF867C}">
                  <a14:compatExt spid="_x0000_s736565"/>
                </a:ext>
              </a:extLst>
            </xdr:cNvPr>
            <xdr:cNvSpPr/>
          </xdr:nvSpPr>
          <xdr:spPr>
            <a:xfrm>
              <a:off x="0" y="0"/>
              <a:ext cx="0" cy="0"/>
            </a:xfrm>
            <a:prstGeom prst="rect">
              <a:avLst/>
            </a:prstGeom>
          </xdr:spPr>
        </xdr:sp>
        <xdr:clientData fLocksWithSheet="0"/>
      </xdr:twoCellAnchor>
    </mc:Choice>
    <mc:Fallback/>
  </mc:AlternateContent>
</xdr:wsDr>
</file>

<file path=xl/drawings/drawing10.xml><?xml version="1.0" encoding="utf-8"?>
<c:userShapes xmlns:c="http://schemas.openxmlformats.org/drawingml/2006/chart">
  <cdr:relSizeAnchor xmlns:cdr="http://schemas.openxmlformats.org/drawingml/2006/chartDrawing">
    <cdr:from>
      <cdr:x>0.16877</cdr:x>
      <cdr:y>0.12917</cdr:y>
    </cdr:from>
    <cdr:to>
      <cdr:x>0.23482</cdr:x>
      <cdr:y>0.16636</cdr:y>
    </cdr:to>
    <cdr:sp macro="" textlink="'Variable Mgmt'!$B$249">
      <cdr:nvSpPr>
        <cdr:cNvPr id="2" name="Text Box 24"/>
        <cdr:cNvSpPr txBox="1">
          <a:spLocks xmlns:a="http://schemas.openxmlformats.org/drawingml/2006/main" noChangeArrowheads="1" noTextEdit="1"/>
        </cdr:cNvSpPr>
      </cdr:nvSpPr>
      <cdr:spPr bwMode="auto">
        <a:xfrm xmlns:a="http://schemas.openxmlformats.org/drawingml/2006/main">
          <a:off x="1403360" y="665601"/>
          <a:ext cx="549265" cy="1916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FB7B9190-533F-41A0-B9F6-41424F4E3D27}" type="TxLink">
            <a:rPr lang="en-US" sz="1100" b="0" i="0" u="none" strike="noStrike" baseline="0">
              <a:solidFill>
                <a:srgbClr val="000000"/>
              </a:solidFill>
              <a:latin typeface="Arial"/>
              <a:cs typeface="Arial"/>
            </a:rPr>
            <a:pPr algn="l" rtl="0">
              <a:defRPr sz="1000"/>
            </a:pPr>
            <a:t>84.6%</a:t>
          </a:fld>
          <a:endParaRPr lang="en-US" sz="1100" b="1" i="0" u="none" strike="noStrike" baseline="0">
            <a:solidFill>
              <a:srgbClr val="000000"/>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3</xdr:col>
      <xdr:colOff>38100</xdr:colOff>
      <xdr:row>6</xdr:row>
      <xdr:rowOff>819150</xdr:rowOff>
    </xdr:from>
    <xdr:to>
      <xdr:col>3</xdr:col>
      <xdr:colOff>561974</xdr:colOff>
      <xdr:row>6</xdr:row>
      <xdr:rowOff>1019175</xdr:rowOff>
    </xdr:to>
    <xdr:sp macro="" textlink="'Variable Mgmt'!$B$247">
      <xdr:nvSpPr>
        <xdr:cNvPr id="5" name="Text Box 24"/>
        <xdr:cNvSpPr txBox="1">
          <a:spLocks noChangeArrowheads="1" noTextEdit="1"/>
        </xdr:cNvSpPr>
      </xdr:nvSpPr>
      <xdr:spPr bwMode="auto">
        <a:xfrm>
          <a:off x="9686925" y="6934200"/>
          <a:ext cx="523874" cy="200025"/>
        </a:xfrm>
        <a:prstGeom prst="rect">
          <a:avLst/>
        </a:prstGeom>
        <a:solidFill>
          <a:schemeClr val="bg1"/>
        </a:solidFill>
        <a:ln w="9525">
          <a:noFill/>
          <a:miter lim="800000"/>
          <a:headEnd/>
          <a:tailEnd/>
        </a:ln>
      </xdr:spPr>
      <xdr:txBody>
        <a:bodyPr wrap="square" lIns="27432" tIns="22860" rIns="0" bIns="2286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fld id="{1F0AFB1C-0795-4024-9821-D34D86340D40}" type="TxLink">
            <a:rPr lang="en-US" sz="1100" b="0" i="0" u="none" strike="noStrike" baseline="0">
              <a:solidFill>
                <a:srgbClr val="000000"/>
              </a:solidFill>
              <a:latin typeface="Arial"/>
              <a:cs typeface="Arial"/>
            </a:rPr>
            <a:pPr algn="r" rtl="0">
              <a:defRPr sz="1000"/>
            </a:pPr>
            <a:t>91.3%</a:t>
          </a:fld>
          <a:endParaRPr lang="en-US" sz="1100" b="1" i="0" u="none" strike="noStrike" baseline="0">
            <a:solidFill>
              <a:srgbClr val="000000"/>
            </a:solidFill>
            <a:latin typeface="Arial" pitchFamily="34" charset="0"/>
            <a:cs typeface="Arial" pitchFamily="34" charset="0"/>
          </a:endParaRPr>
        </a:p>
      </xdr:txBody>
    </xdr:sp>
    <xdr:clientData/>
  </xdr:twoCellAnchor>
  <xdr:twoCellAnchor>
    <xdr:from>
      <xdr:col>3</xdr:col>
      <xdr:colOff>19050</xdr:colOff>
      <xdr:row>4</xdr:row>
      <xdr:rowOff>704850</xdr:rowOff>
    </xdr:from>
    <xdr:to>
      <xdr:col>3</xdr:col>
      <xdr:colOff>542924</xdr:colOff>
      <xdr:row>4</xdr:row>
      <xdr:rowOff>904875</xdr:rowOff>
    </xdr:to>
    <xdr:sp macro="" textlink="'Variable Mgmt'!$B$247">
      <xdr:nvSpPr>
        <xdr:cNvPr id="6" name="Text Box 24"/>
        <xdr:cNvSpPr txBox="1">
          <a:spLocks noChangeArrowheads="1" noTextEdit="1"/>
        </xdr:cNvSpPr>
      </xdr:nvSpPr>
      <xdr:spPr bwMode="auto">
        <a:xfrm>
          <a:off x="9667875" y="1409700"/>
          <a:ext cx="523874" cy="200025"/>
        </a:xfrm>
        <a:prstGeom prst="rect">
          <a:avLst/>
        </a:prstGeom>
        <a:noFill/>
        <a:ln w="9525">
          <a:noFill/>
          <a:miter lim="800000"/>
          <a:headEnd/>
          <a:tailEnd/>
        </a:ln>
      </xdr:spPr>
      <xdr:txBody>
        <a:bodyPr wrap="square" lIns="27432" tIns="22860" rIns="0" bIns="2286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fld id="{1F0AFB1C-0795-4024-9821-D34D86340D40}" type="TxLink">
            <a:rPr lang="en-US" sz="1100" b="0" i="0" u="none" strike="noStrike" baseline="0">
              <a:solidFill>
                <a:srgbClr val="000000"/>
              </a:solidFill>
              <a:latin typeface="Arial"/>
              <a:cs typeface="Arial"/>
            </a:rPr>
            <a:pPr algn="r" rtl="0">
              <a:defRPr sz="1000"/>
            </a:pPr>
            <a:t>91.3%</a:t>
          </a:fld>
          <a:endParaRPr lang="en-US" sz="1100" b="1" i="0" u="none" strike="noStrike" baseline="0">
            <a:solidFill>
              <a:srgbClr val="000000"/>
            </a:solidFill>
            <a:latin typeface="Arial" pitchFamily="34" charset="0"/>
            <a:cs typeface="Arial" pitchFamily="34" charset="0"/>
          </a:endParaRPr>
        </a:p>
      </xdr:txBody>
    </xdr:sp>
    <xdr:clientData/>
  </xdr:twoCellAnchor>
  <xdr:twoCellAnchor>
    <xdr:from>
      <xdr:col>1</xdr:col>
      <xdr:colOff>1</xdr:colOff>
      <xdr:row>4</xdr:row>
      <xdr:rowOff>0</xdr:rowOff>
    </xdr:from>
    <xdr:to>
      <xdr:col>1</xdr:col>
      <xdr:colOff>8275321</xdr:colOff>
      <xdr:row>4</xdr:row>
      <xdr:rowOff>5029200</xdr:rowOff>
    </xdr:to>
    <xdr:graphicFrame macro="">
      <xdr:nvGraphicFramePr>
        <xdr:cNvPr id="8"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6</xdr:row>
      <xdr:rowOff>0</xdr:rowOff>
    </xdr:from>
    <xdr:to>
      <xdr:col>1</xdr:col>
      <xdr:colOff>8275320</xdr:colOff>
      <xdr:row>6</xdr:row>
      <xdr:rowOff>5029200</xdr:rowOff>
    </xdr:to>
    <xdr:graphicFrame macro="">
      <xdr:nvGraphicFramePr>
        <xdr:cNvPr id="7"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16</xdr:col>
          <xdr:colOff>18166</xdr:colOff>
          <xdr:row>4</xdr:row>
          <xdr:rowOff>4138092</xdr:rowOff>
        </xdr:to>
        <xdr:pic>
          <xdr:nvPicPr>
            <xdr:cNvPr id="9" name="Picture 8888"/>
            <xdr:cNvPicPr>
              <a:picLocks noChangeAspect="1" noChangeArrowheads="1"/>
              <a:extLst>
                <a:ext uri="{84589F7E-364E-4C9E-8A38-B11213B215E9}">
                  <a14:cameraTool cellRange="PICTURE3" spid="_x0000_s729543"/>
                </a:ext>
              </a:extLst>
            </xdr:cNvPicPr>
          </xdr:nvPicPr>
          <xdr:blipFill>
            <a:blip xmlns:r="http://schemas.openxmlformats.org/officeDocument/2006/relationships" r:embed="rId3"/>
            <a:srcRect/>
            <a:stretch>
              <a:fillRect/>
            </a:stretch>
          </xdr:blipFill>
          <xdr:spPr bwMode="auto">
            <a:xfrm>
              <a:off x="10868025" y="704850"/>
              <a:ext cx="6723766" cy="4138092"/>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18</xdr:col>
          <xdr:colOff>504825</xdr:colOff>
          <xdr:row>5</xdr:row>
          <xdr:rowOff>0</xdr:rowOff>
        </xdr:to>
        <xdr:pic>
          <xdr:nvPicPr>
            <xdr:cNvPr id="6" name="Picture 8888"/>
            <xdr:cNvPicPr>
              <a:picLocks noChangeAspect="1" noChangeArrowheads="1"/>
              <a:extLst>
                <a:ext uri="{84589F7E-364E-4C9E-8A38-B11213B215E9}">
                  <a14:cameraTool cellRange="PICTURE2" spid="_x0000_s733638"/>
                </a:ext>
              </a:extLst>
            </xdr:cNvPicPr>
          </xdr:nvPicPr>
          <xdr:blipFill>
            <a:blip xmlns:r="http://schemas.openxmlformats.org/officeDocument/2006/relationships" r:embed="rId1"/>
            <a:srcRect/>
            <a:stretch>
              <a:fillRect/>
            </a:stretch>
          </xdr:blipFill>
          <xdr:spPr bwMode="auto">
            <a:xfrm>
              <a:off x="10868025" y="704850"/>
              <a:ext cx="8429625" cy="5200650"/>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xdr:col>
      <xdr:colOff>1</xdr:colOff>
      <xdr:row>4</xdr:row>
      <xdr:rowOff>0</xdr:rowOff>
    </xdr:from>
    <xdr:to>
      <xdr:col>1</xdr:col>
      <xdr:colOff>8275321</xdr:colOff>
      <xdr:row>4</xdr:row>
      <xdr:rowOff>5029200</xdr:rowOff>
    </xdr:to>
    <xdr:graphicFrame macro="">
      <xdr:nvGraphicFramePr>
        <xdr:cNvPr id="7" name="Chart 25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6</xdr:row>
      <xdr:rowOff>19049</xdr:rowOff>
    </xdr:from>
    <xdr:to>
      <xdr:col>1</xdr:col>
      <xdr:colOff>8277225</xdr:colOff>
      <xdr:row>6</xdr:row>
      <xdr:rowOff>5048249</xdr:rowOff>
    </xdr:to>
    <xdr:graphicFrame macro="">
      <xdr:nvGraphicFramePr>
        <xdr:cNvPr id="8" name="Chart 25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752475</xdr:colOff>
      <xdr:row>30</xdr:row>
      <xdr:rowOff>85725</xdr:rowOff>
    </xdr:from>
    <xdr:to>
      <xdr:col>15</xdr:col>
      <xdr:colOff>1200150</xdr:colOff>
      <xdr:row>31</xdr:row>
      <xdr:rowOff>133350</xdr:rowOff>
    </xdr:to>
    <xdr:sp macro="" textlink="">
      <xdr:nvSpPr>
        <xdr:cNvPr id="3" name="Text Box 2"/>
        <xdr:cNvSpPr txBox="1">
          <a:spLocks noChangeArrowheads="1"/>
        </xdr:cNvSpPr>
      </xdr:nvSpPr>
      <xdr:spPr bwMode="auto">
        <a:xfrm>
          <a:off x="16906875" y="13973175"/>
          <a:ext cx="0"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FF"/>
              </a:solidFill>
              <a:latin typeface="Arial"/>
              <a:cs typeface="Arial"/>
            </a:rPr>
            <a:t>V</a:t>
          </a:r>
          <a:r>
            <a:rPr lang="en-US" sz="1000" b="1" i="0" strike="noStrike" baseline="-25000">
              <a:solidFill>
                <a:srgbClr val="0000FF"/>
              </a:solidFill>
              <a:latin typeface="Arial"/>
              <a:cs typeface="Arial"/>
            </a:rPr>
            <a:t>OUT</a:t>
          </a:r>
        </a:p>
      </xdr:txBody>
    </xdr:sp>
    <xdr:clientData/>
  </xdr:twoCellAnchor>
  <xdr:twoCellAnchor>
    <xdr:from>
      <xdr:col>15</xdr:col>
      <xdr:colOff>752475</xdr:colOff>
      <xdr:row>31</xdr:row>
      <xdr:rowOff>104775</xdr:rowOff>
    </xdr:from>
    <xdr:to>
      <xdr:col>15</xdr:col>
      <xdr:colOff>1181100</xdr:colOff>
      <xdr:row>32</xdr:row>
      <xdr:rowOff>152400</xdr:rowOff>
    </xdr:to>
    <xdr:sp macro="" textlink="">
      <xdr:nvSpPr>
        <xdr:cNvPr id="4" name="Text Box 3"/>
        <xdr:cNvSpPr txBox="1">
          <a:spLocks noChangeArrowheads="1" noTextEdit="1"/>
        </xdr:cNvSpPr>
      </xdr:nvSpPr>
      <xdr:spPr bwMode="auto">
        <a:xfrm>
          <a:off x="16906875" y="14163675"/>
          <a:ext cx="0" cy="219075"/>
        </a:xfrm>
        <a:prstGeom prst="rect">
          <a:avLst/>
        </a:prstGeom>
        <a:noFill/>
        <a:ln w="9525">
          <a:noFill/>
          <a:miter lim="800000"/>
          <a:headEnd/>
          <a:tailEnd/>
        </a:ln>
      </xdr:spPr>
      <xdr:txBody>
        <a:bodyPr vertOverflow="clip" wrap="square" lIns="27432" tIns="22860" rIns="0" bIns="0" anchor="t" upright="1"/>
        <a:lstStyle/>
        <a:p>
          <a:pPr algn="l" rtl="0">
            <a:defRPr sz="1000"/>
          </a:pPr>
          <a:fld id="{0F8B8801-C5EA-4FBD-95F5-162EB7ADACC8}" type="TxLink">
            <a:rPr lang="en-US" sz="1000" b="1" i="0" u="none" strike="noStrike">
              <a:solidFill>
                <a:srgbClr val="0000FF"/>
              </a:solidFill>
              <a:latin typeface="Arial"/>
              <a:cs typeface="Arial"/>
            </a:rPr>
            <a:pPr algn="l" rtl="0">
              <a:defRPr sz="1000"/>
            </a:pPr>
            <a:t>1.2V</a:t>
          </a:fld>
          <a:endParaRPr lang="en-US" sz="1000" b="1" i="0" strike="noStrike">
            <a:solidFill>
              <a:srgbClr val="0000FF"/>
            </a:solidFill>
            <a:latin typeface="Arial"/>
            <a:cs typeface="Arial"/>
          </a:endParaRPr>
        </a:p>
      </xdr:txBody>
    </xdr:sp>
    <xdr:clientData/>
  </xdr:twoCellAnchor>
  <xdr:twoCellAnchor>
    <xdr:from>
      <xdr:col>16</xdr:col>
      <xdr:colOff>0</xdr:colOff>
      <xdr:row>34</xdr:row>
      <xdr:rowOff>142875</xdr:rowOff>
    </xdr:from>
    <xdr:to>
      <xdr:col>16</xdr:col>
      <xdr:colOff>0</xdr:colOff>
      <xdr:row>36</xdr:row>
      <xdr:rowOff>152400</xdr:rowOff>
    </xdr:to>
    <xdr:grpSp>
      <xdr:nvGrpSpPr>
        <xdr:cNvPr id="5" name="Group 25"/>
        <xdr:cNvGrpSpPr>
          <a:grpSpLocks/>
        </xdr:cNvGrpSpPr>
      </xdr:nvGrpSpPr>
      <xdr:grpSpPr bwMode="auto">
        <a:xfrm>
          <a:off x="33108900" y="65131950"/>
          <a:ext cx="0" cy="4333875"/>
          <a:chOff x="953" y="747"/>
          <a:chExt cx="76" cy="41"/>
        </a:xfrm>
      </xdr:grpSpPr>
      <xdr:sp macro="" textlink="">
        <xdr:nvSpPr>
          <xdr:cNvPr id="6" name="Text Box 26"/>
          <xdr:cNvSpPr txBox="1">
            <a:spLocks noChangeArrowheads="1"/>
          </xdr:cNvSpPr>
        </xdr:nvSpPr>
        <xdr:spPr bwMode="auto">
          <a:xfrm>
            <a:off x="16906875" y="-6462072205698"/>
            <a:ext cx="0" cy="21"/>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1" i="0" strike="noStrike">
                <a:solidFill>
                  <a:srgbClr val="0000FF"/>
                </a:solidFill>
                <a:latin typeface="Arial"/>
                <a:cs typeface="Arial"/>
              </a:rPr>
              <a:t>C</a:t>
            </a:r>
            <a:r>
              <a:rPr lang="en-US" sz="1000" b="1" i="0" strike="noStrike" baseline="-25000">
                <a:solidFill>
                  <a:srgbClr val="0000FF"/>
                </a:solidFill>
                <a:latin typeface="Arial"/>
                <a:cs typeface="Arial"/>
              </a:rPr>
              <a:t>OUT</a:t>
            </a:r>
          </a:p>
        </xdr:txBody>
      </xdr:sp>
      <xdr:sp macro="" textlink="">
        <xdr:nvSpPr>
          <xdr:cNvPr id="7" name="Text Box 27"/>
          <xdr:cNvSpPr txBox="1">
            <a:spLocks noChangeArrowheads="1" noTextEdit="1"/>
          </xdr:cNvSpPr>
        </xdr:nvSpPr>
        <xdr:spPr bwMode="auto">
          <a:xfrm>
            <a:off x="16906875" y="-11225863852848"/>
            <a:ext cx="0" cy="21"/>
          </a:xfrm>
          <a:prstGeom prst="rect">
            <a:avLst/>
          </a:prstGeom>
          <a:noFill/>
          <a:ln w="9525">
            <a:noFill/>
            <a:miter lim="800000"/>
            <a:headEnd/>
            <a:tailEnd/>
          </a:ln>
        </xdr:spPr>
        <xdr:txBody>
          <a:bodyPr vertOverflow="clip" wrap="square" lIns="27432" tIns="22860" rIns="0" bIns="0" anchor="t" upright="1"/>
          <a:lstStyle/>
          <a:p>
            <a:pPr algn="l" rtl="0">
              <a:defRPr sz="1000"/>
            </a:pPr>
            <a:fld id="{FA2B5858-D1A0-4A0D-80A7-2946C710A8EC}" type="TxLink">
              <a:rPr lang="en-US" sz="1000" b="1" i="0" u="none" strike="noStrike">
                <a:solidFill>
                  <a:srgbClr val="0000FF"/>
                </a:solidFill>
                <a:latin typeface="Arial"/>
                <a:cs typeface="Arial"/>
              </a:rPr>
              <a:pPr algn="l" rtl="0">
                <a:defRPr sz="1000"/>
              </a:pPr>
              <a:t>140µF</a:t>
            </a:fld>
            <a:endParaRPr lang="en-US" sz="1000" b="1" i="0" strike="noStrike">
              <a:solidFill>
                <a:srgbClr val="0000FF"/>
              </a:solidFill>
              <a:latin typeface="Arial"/>
              <a:cs typeface="Arial"/>
            </a:endParaRPr>
          </a:p>
        </xdr:txBody>
      </xdr:sp>
    </xdr:grpSp>
    <xdr:clientData/>
  </xdr:twoCellAnchor>
  <xdr:twoCellAnchor editAs="oneCell">
    <xdr:from>
      <xdr:col>3</xdr:col>
      <xdr:colOff>609599</xdr:colOff>
      <xdr:row>6</xdr:row>
      <xdr:rowOff>0</xdr:rowOff>
    </xdr:from>
    <xdr:to>
      <xdr:col>4</xdr:col>
      <xdr:colOff>8229599</xdr:colOff>
      <xdr:row>6</xdr:row>
      <xdr:rowOff>4480726</xdr:rowOff>
    </xdr:to>
    <xdr:pic>
      <xdr:nvPicPr>
        <xdr:cNvPr id="82" name="Picture 8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49" y="10287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609599</xdr:colOff>
      <xdr:row>6</xdr:row>
      <xdr:rowOff>0</xdr:rowOff>
    </xdr:from>
    <xdr:to>
      <xdr:col>7</xdr:col>
      <xdr:colOff>8229599</xdr:colOff>
      <xdr:row>6</xdr:row>
      <xdr:rowOff>4480726</xdr:rowOff>
    </xdr:to>
    <xdr:pic>
      <xdr:nvPicPr>
        <xdr:cNvPr id="84" name="Picture 8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916774" y="10287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847724</xdr:colOff>
      <xdr:row>8</xdr:row>
      <xdr:rowOff>0</xdr:rowOff>
    </xdr:from>
    <xdr:to>
      <xdr:col>1</xdr:col>
      <xdr:colOff>8229599</xdr:colOff>
      <xdr:row>8</xdr:row>
      <xdr:rowOff>4480726</xdr:rowOff>
    </xdr:to>
    <xdr:pic>
      <xdr:nvPicPr>
        <xdr:cNvPr id="51" name="Picture 5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7724" y="5781675"/>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847724</xdr:colOff>
      <xdr:row>10</xdr:row>
      <xdr:rowOff>0</xdr:rowOff>
    </xdr:from>
    <xdr:to>
      <xdr:col>1</xdr:col>
      <xdr:colOff>8229599</xdr:colOff>
      <xdr:row>10</xdr:row>
      <xdr:rowOff>4480726</xdr:rowOff>
    </xdr:to>
    <xdr:pic>
      <xdr:nvPicPr>
        <xdr:cNvPr id="52" name="Picture 5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47724" y="1057275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12</xdr:row>
      <xdr:rowOff>0</xdr:rowOff>
    </xdr:from>
    <xdr:to>
      <xdr:col>1</xdr:col>
      <xdr:colOff>8229599</xdr:colOff>
      <xdr:row>12</xdr:row>
      <xdr:rowOff>4480726</xdr:rowOff>
    </xdr:to>
    <xdr:pic>
      <xdr:nvPicPr>
        <xdr:cNvPr id="53" name="Picture 5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43642" y="15267214"/>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14</xdr:row>
      <xdr:rowOff>-1</xdr:rowOff>
    </xdr:from>
    <xdr:to>
      <xdr:col>1</xdr:col>
      <xdr:colOff>8229599</xdr:colOff>
      <xdr:row>14</xdr:row>
      <xdr:rowOff>4480725</xdr:rowOff>
    </xdr:to>
    <xdr:pic>
      <xdr:nvPicPr>
        <xdr:cNvPr id="73" name="Picture 7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3642" y="19961678"/>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6</xdr:row>
      <xdr:rowOff>0</xdr:rowOff>
    </xdr:from>
    <xdr:to>
      <xdr:col>1</xdr:col>
      <xdr:colOff>8229599</xdr:colOff>
      <xdr:row>6</xdr:row>
      <xdr:rowOff>4480726</xdr:rowOff>
    </xdr:to>
    <xdr:pic>
      <xdr:nvPicPr>
        <xdr:cNvPr id="76" name="Picture 7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43642" y="1034143"/>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16</xdr:row>
      <xdr:rowOff>0</xdr:rowOff>
    </xdr:from>
    <xdr:to>
      <xdr:col>1</xdr:col>
      <xdr:colOff>8229599</xdr:colOff>
      <xdr:row>16</xdr:row>
      <xdr:rowOff>4480726</xdr:rowOff>
    </xdr:to>
    <xdr:pic>
      <xdr:nvPicPr>
        <xdr:cNvPr id="77" name="Picture 7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43642" y="24656143"/>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18</xdr:row>
      <xdr:rowOff>0</xdr:rowOff>
    </xdr:from>
    <xdr:to>
      <xdr:col>1</xdr:col>
      <xdr:colOff>8229599</xdr:colOff>
      <xdr:row>18</xdr:row>
      <xdr:rowOff>4480726</xdr:rowOff>
    </xdr:to>
    <xdr:pic>
      <xdr:nvPicPr>
        <xdr:cNvPr id="85" name="Picture 84"/>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43642" y="293370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843642</xdr:colOff>
      <xdr:row>20</xdr:row>
      <xdr:rowOff>0</xdr:rowOff>
    </xdr:from>
    <xdr:to>
      <xdr:col>1</xdr:col>
      <xdr:colOff>8229599</xdr:colOff>
      <xdr:row>20</xdr:row>
      <xdr:rowOff>4480726</xdr:rowOff>
    </xdr:to>
    <xdr:pic>
      <xdr:nvPicPr>
        <xdr:cNvPr id="86" name="Picture 85"/>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43642" y="33949821"/>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8</xdr:row>
      <xdr:rowOff>0</xdr:rowOff>
    </xdr:from>
    <xdr:to>
      <xdr:col>4</xdr:col>
      <xdr:colOff>8229599</xdr:colOff>
      <xdr:row>8</xdr:row>
      <xdr:rowOff>4480726</xdr:rowOff>
    </xdr:to>
    <xdr:pic>
      <xdr:nvPicPr>
        <xdr:cNvPr id="17" name="Picture 16"/>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382249" y="5783036"/>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10</xdr:row>
      <xdr:rowOff>0</xdr:rowOff>
    </xdr:from>
    <xdr:to>
      <xdr:col>4</xdr:col>
      <xdr:colOff>8229599</xdr:colOff>
      <xdr:row>10</xdr:row>
      <xdr:rowOff>4480726</xdr:rowOff>
    </xdr:to>
    <xdr:pic>
      <xdr:nvPicPr>
        <xdr:cNvPr id="19" name="Picture 18"/>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0382249" y="1047750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12</xdr:row>
      <xdr:rowOff>0</xdr:rowOff>
    </xdr:from>
    <xdr:to>
      <xdr:col>4</xdr:col>
      <xdr:colOff>8229599</xdr:colOff>
      <xdr:row>12</xdr:row>
      <xdr:rowOff>4480726</xdr:rowOff>
    </xdr:to>
    <xdr:pic>
      <xdr:nvPicPr>
        <xdr:cNvPr id="20" name="Picture 19"/>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382249" y="15171964"/>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14</xdr:row>
      <xdr:rowOff>0</xdr:rowOff>
    </xdr:from>
    <xdr:to>
      <xdr:col>4</xdr:col>
      <xdr:colOff>8229599</xdr:colOff>
      <xdr:row>14</xdr:row>
      <xdr:rowOff>4480726</xdr:rowOff>
    </xdr:to>
    <xdr:pic>
      <xdr:nvPicPr>
        <xdr:cNvPr id="21" name="Picture 2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0382249" y="19866429"/>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16</xdr:row>
      <xdr:rowOff>0</xdr:rowOff>
    </xdr:from>
    <xdr:to>
      <xdr:col>4</xdr:col>
      <xdr:colOff>8229599</xdr:colOff>
      <xdr:row>16</xdr:row>
      <xdr:rowOff>4480726</xdr:rowOff>
    </xdr:to>
    <xdr:pic>
      <xdr:nvPicPr>
        <xdr:cNvPr id="22" name="Picture 21"/>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382249" y="24560893"/>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18</xdr:row>
      <xdr:rowOff>0</xdr:rowOff>
    </xdr:from>
    <xdr:to>
      <xdr:col>4</xdr:col>
      <xdr:colOff>8229599</xdr:colOff>
      <xdr:row>18</xdr:row>
      <xdr:rowOff>4480726</xdr:rowOff>
    </xdr:to>
    <xdr:pic>
      <xdr:nvPicPr>
        <xdr:cNvPr id="23" name="Picture 22"/>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0382249" y="29241750"/>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612320</xdr:colOff>
      <xdr:row>20</xdr:row>
      <xdr:rowOff>0</xdr:rowOff>
    </xdr:from>
    <xdr:to>
      <xdr:col>4</xdr:col>
      <xdr:colOff>8229599</xdr:colOff>
      <xdr:row>20</xdr:row>
      <xdr:rowOff>4480726</xdr:rowOff>
    </xdr:to>
    <xdr:pic>
      <xdr:nvPicPr>
        <xdr:cNvPr id="24" name="Picture 23"/>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2249" y="33949821"/>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8</xdr:row>
      <xdr:rowOff>0</xdr:rowOff>
    </xdr:from>
    <xdr:to>
      <xdr:col>7</xdr:col>
      <xdr:colOff>8229599</xdr:colOff>
      <xdr:row>8</xdr:row>
      <xdr:rowOff>4480726</xdr:rowOff>
    </xdr:to>
    <xdr:pic>
      <xdr:nvPicPr>
        <xdr:cNvPr id="25" name="Picture 24"/>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9898590" y="5766955"/>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10</xdr:row>
      <xdr:rowOff>0</xdr:rowOff>
    </xdr:from>
    <xdr:to>
      <xdr:col>7</xdr:col>
      <xdr:colOff>8229599</xdr:colOff>
      <xdr:row>10</xdr:row>
      <xdr:rowOff>4480726</xdr:rowOff>
    </xdr:to>
    <xdr:pic>
      <xdr:nvPicPr>
        <xdr:cNvPr id="27" name="Picture 26"/>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9898590" y="10460182"/>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12</xdr:row>
      <xdr:rowOff>0</xdr:rowOff>
    </xdr:from>
    <xdr:to>
      <xdr:col>7</xdr:col>
      <xdr:colOff>8229599</xdr:colOff>
      <xdr:row>12</xdr:row>
      <xdr:rowOff>4480726</xdr:rowOff>
    </xdr:to>
    <xdr:pic>
      <xdr:nvPicPr>
        <xdr:cNvPr id="28" name="Picture 27"/>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9898590" y="15153409"/>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14</xdr:row>
      <xdr:rowOff>0</xdr:rowOff>
    </xdr:from>
    <xdr:to>
      <xdr:col>7</xdr:col>
      <xdr:colOff>8229599</xdr:colOff>
      <xdr:row>14</xdr:row>
      <xdr:rowOff>4480726</xdr:rowOff>
    </xdr:to>
    <xdr:pic>
      <xdr:nvPicPr>
        <xdr:cNvPr id="29" name="Picture 28"/>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9898590" y="19846636"/>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16</xdr:row>
      <xdr:rowOff>0</xdr:rowOff>
    </xdr:from>
    <xdr:to>
      <xdr:col>7</xdr:col>
      <xdr:colOff>8229599</xdr:colOff>
      <xdr:row>16</xdr:row>
      <xdr:rowOff>4480726</xdr:rowOff>
    </xdr:to>
    <xdr:pic>
      <xdr:nvPicPr>
        <xdr:cNvPr id="31" name="Picture 30"/>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898590" y="24539864"/>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18</xdr:row>
      <xdr:rowOff>0</xdr:rowOff>
    </xdr:from>
    <xdr:to>
      <xdr:col>7</xdr:col>
      <xdr:colOff>8229599</xdr:colOff>
      <xdr:row>18</xdr:row>
      <xdr:rowOff>4480726</xdr:rowOff>
    </xdr:to>
    <xdr:pic>
      <xdr:nvPicPr>
        <xdr:cNvPr id="33" name="Picture 32"/>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9898590" y="29233091"/>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20</xdr:row>
      <xdr:rowOff>0</xdr:rowOff>
    </xdr:from>
    <xdr:to>
      <xdr:col>7</xdr:col>
      <xdr:colOff>8229599</xdr:colOff>
      <xdr:row>20</xdr:row>
      <xdr:rowOff>4480726</xdr:rowOff>
    </xdr:to>
    <xdr:pic>
      <xdr:nvPicPr>
        <xdr:cNvPr id="34" name="Picture 33"/>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9898590" y="33943636"/>
          <a:ext cx="8229600" cy="4480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30</xdr:row>
          <xdr:rowOff>9525</xdr:rowOff>
        </xdr:from>
        <xdr:to>
          <xdr:col>6</xdr:col>
          <xdr:colOff>876300</xdr:colOff>
          <xdr:row>31</xdr:row>
          <xdr:rowOff>0</xdr:rowOff>
        </xdr:to>
        <xdr:sp macro="" textlink="">
          <xdr:nvSpPr>
            <xdr:cNvPr id="674505" name="Drop Down 713" hidden="1">
              <a:extLst>
                <a:ext uri="{63B3BB69-23CF-44E3-9099-C40C66FF867C}">
                  <a14:compatExt spid="_x0000_s674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9525</xdr:rowOff>
        </xdr:from>
        <xdr:to>
          <xdr:col>6</xdr:col>
          <xdr:colOff>876300</xdr:colOff>
          <xdr:row>32</xdr:row>
          <xdr:rowOff>0</xdr:rowOff>
        </xdr:to>
        <xdr:sp macro="" textlink="">
          <xdr:nvSpPr>
            <xdr:cNvPr id="674508" name="Drop Down 716" hidden="1">
              <a:extLst>
                <a:ext uri="{63B3BB69-23CF-44E3-9099-C40C66FF867C}">
                  <a14:compatExt spid="_x0000_s674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9525</xdr:rowOff>
        </xdr:from>
        <xdr:to>
          <xdr:col>6</xdr:col>
          <xdr:colOff>876300</xdr:colOff>
          <xdr:row>36</xdr:row>
          <xdr:rowOff>0</xdr:rowOff>
        </xdr:to>
        <xdr:sp macro="" textlink="">
          <xdr:nvSpPr>
            <xdr:cNvPr id="674527" name="Drop Down 735" hidden="1">
              <a:extLst>
                <a:ext uri="{63B3BB69-23CF-44E3-9099-C40C66FF867C}">
                  <a14:compatExt spid="_x0000_s674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9525</xdr:rowOff>
        </xdr:from>
        <xdr:to>
          <xdr:col>6</xdr:col>
          <xdr:colOff>876300</xdr:colOff>
          <xdr:row>42</xdr:row>
          <xdr:rowOff>0</xdr:rowOff>
        </xdr:to>
        <xdr:sp macro="" textlink="">
          <xdr:nvSpPr>
            <xdr:cNvPr id="674534" name="Drop Down 742" hidden="1">
              <a:extLst>
                <a:ext uri="{63B3BB69-23CF-44E3-9099-C40C66FF867C}">
                  <a14:compatExt spid="_x0000_s674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9525</xdr:rowOff>
        </xdr:from>
        <xdr:to>
          <xdr:col>6</xdr:col>
          <xdr:colOff>876300</xdr:colOff>
          <xdr:row>38</xdr:row>
          <xdr:rowOff>0</xdr:rowOff>
        </xdr:to>
        <xdr:sp macro="" textlink="">
          <xdr:nvSpPr>
            <xdr:cNvPr id="674536" name="Drop Down 744" hidden="1">
              <a:extLst>
                <a:ext uri="{63B3BB69-23CF-44E3-9099-C40C66FF867C}">
                  <a14:compatExt spid="_x0000_s674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9525</xdr:rowOff>
        </xdr:from>
        <xdr:to>
          <xdr:col>6</xdr:col>
          <xdr:colOff>876300</xdr:colOff>
          <xdr:row>37</xdr:row>
          <xdr:rowOff>0</xdr:rowOff>
        </xdr:to>
        <xdr:sp macro="" textlink="">
          <xdr:nvSpPr>
            <xdr:cNvPr id="674539" name="Drop Down 747" hidden="1">
              <a:extLst>
                <a:ext uri="{63B3BB69-23CF-44E3-9099-C40C66FF867C}">
                  <a14:compatExt spid="_x0000_s6745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9525</xdr:rowOff>
        </xdr:from>
        <xdr:to>
          <xdr:col>6</xdr:col>
          <xdr:colOff>876300</xdr:colOff>
          <xdr:row>41</xdr:row>
          <xdr:rowOff>0</xdr:rowOff>
        </xdr:to>
        <xdr:sp macro="" textlink="">
          <xdr:nvSpPr>
            <xdr:cNvPr id="674540" name="Drop Down 748" hidden="1">
              <a:extLst>
                <a:ext uri="{63B3BB69-23CF-44E3-9099-C40C66FF867C}">
                  <a14:compatExt spid="_x0000_s6745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9525</xdr:rowOff>
        </xdr:from>
        <xdr:to>
          <xdr:col>6</xdr:col>
          <xdr:colOff>876300</xdr:colOff>
          <xdr:row>43</xdr:row>
          <xdr:rowOff>0</xdr:rowOff>
        </xdr:to>
        <xdr:sp macro="" textlink="">
          <xdr:nvSpPr>
            <xdr:cNvPr id="674541" name="Drop Down 749" hidden="1">
              <a:extLst>
                <a:ext uri="{63B3BB69-23CF-44E3-9099-C40C66FF867C}">
                  <a14:compatExt spid="_x0000_s6745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9525</xdr:rowOff>
        </xdr:from>
        <xdr:to>
          <xdr:col>6</xdr:col>
          <xdr:colOff>876300</xdr:colOff>
          <xdr:row>44</xdr:row>
          <xdr:rowOff>0</xdr:rowOff>
        </xdr:to>
        <xdr:sp macro="" textlink="">
          <xdr:nvSpPr>
            <xdr:cNvPr id="674542" name="Drop Down 750" hidden="1">
              <a:extLst>
                <a:ext uri="{63B3BB69-23CF-44E3-9099-C40C66FF867C}">
                  <a14:compatExt spid="_x0000_s6745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9525</xdr:rowOff>
        </xdr:from>
        <xdr:to>
          <xdr:col>6</xdr:col>
          <xdr:colOff>876300</xdr:colOff>
          <xdr:row>45</xdr:row>
          <xdr:rowOff>0</xdr:rowOff>
        </xdr:to>
        <xdr:sp macro="" textlink="">
          <xdr:nvSpPr>
            <xdr:cNvPr id="674543" name="Drop Down 751" hidden="1">
              <a:extLst>
                <a:ext uri="{63B3BB69-23CF-44E3-9099-C40C66FF867C}">
                  <a14:compatExt spid="_x0000_s6745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9525</xdr:rowOff>
        </xdr:from>
        <xdr:to>
          <xdr:col>6</xdr:col>
          <xdr:colOff>876300</xdr:colOff>
          <xdr:row>35</xdr:row>
          <xdr:rowOff>0</xdr:rowOff>
        </xdr:to>
        <xdr:sp macro="" textlink="">
          <xdr:nvSpPr>
            <xdr:cNvPr id="674544" name="Drop Down 752" hidden="1">
              <a:extLst>
                <a:ext uri="{63B3BB69-23CF-44E3-9099-C40C66FF867C}">
                  <a14:compatExt spid="_x0000_s6745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9525</xdr:rowOff>
        </xdr:from>
        <xdr:to>
          <xdr:col>6</xdr:col>
          <xdr:colOff>876300</xdr:colOff>
          <xdr:row>46</xdr:row>
          <xdr:rowOff>0</xdr:rowOff>
        </xdr:to>
        <xdr:sp macro="" textlink="">
          <xdr:nvSpPr>
            <xdr:cNvPr id="674632" name="Drop Down 840" hidden="1">
              <a:extLst>
                <a:ext uri="{63B3BB69-23CF-44E3-9099-C40C66FF867C}">
                  <a14:compatExt spid="_x0000_s6746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9525</xdr:rowOff>
        </xdr:from>
        <xdr:to>
          <xdr:col>6</xdr:col>
          <xdr:colOff>876300</xdr:colOff>
          <xdr:row>34</xdr:row>
          <xdr:rowOff>0</xdr:rowOff>
        </xdr:to>
        <xdr:sp macro="" textlink="">
          <xdr:nvSpPr>
            <xdr:cNvPr id="674633" name="Drop Down 841" hidden="1">
              <a:extLst>
                <a:ext uri="{63B3BB69-23CF-44E3-9099-C40C66FF867C}">
                  <a14:compatExt spid="_x0000_s6746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370999</xdr:colOff>
          <xdr:row>0</xdr:row>
          <xdr:rowOff>95250</xdr:rowOff>
        </xdr:from>
        <xdr:to>
          <xdr:col>7</xdr:col>
          <xdr:colOff>906899</xdr:colOff>
          <xdr:row>26</xdr:row>
          <xdr:rowOff>57258</xdr:rowOff>
        </xdr:to>
        <xdr:pic>
          <xdr:nvPicPr>
            <xdr:cNvPr id="77" name="Picture 8888"/>
            <xdr:cNvPicPr>
              <a:picLocks noChangeAspect="1" noChangeArrowheads="1"/>
              <a:extLst>
                <a:ext uri="{84589F7E-364E-4C9E-8A38-B11213B215E9}">
                  <a14:cameraTool cellRange="PICTURE1" spid="_x0000_s706460"/>
                </a:ext>
              </a:extLst>
            </xdr:cNvPicPr>
          </xdr:nvPicPr>
          <xdr:blipFill>
            <a:blip xmlns:r="http://schemas.openxmlformats.org/officeDocument/2006/relationships" r:embed="rId1"/>
            <a:srcRect/>
            <a:stretch>
              <a:fillRect/>
            </a:stretch>
          </xdr:blipFill>
          <xdr:spPr bwMode="auto">
            <a:xfrm>
              <a:off x="370999" y="95250"/>
              <a:ext cx="7308175" cy="4172058"/>
            </a:xfrm>
            <a:prstGeom prst="rect">
              <a:avLst/>
            </a:prstGeom>
            <a:noFill/>
            <a:ln w="15875">
              <a:noFill/>
              <a:miter lim="800000"/>
              <a:headEnd/>
              <a:tailEnd/>
            </a:ln>
            <a:extLst>
              <a:ext uri="{909E8E84-426E-40DD-AFC4-6F175D3DCCD1}">
                <a14:hiddenFill>
                  <a:solidFill>
                    <a:srgbClr val="FFFFFF" mc:Ignorable="a14" a14:legacySpreadsheetColorIndex="65"/>
                  </a:solidFill>
                </a14:hiddenFill>
              </a:ext>
            </a:extLst>
          </xdr:spPr>
        </xdr:pic>
        <xdr:clientData/>
      </xdr:twoCellAnchor>
    </mc:Choice>
    <mc:Fallback/>
  </mc:AlternateContent>
  <xdr:twoCellAnchor>
    <xdr:from>
      <xdr:col>1</xdr:col>
      <xdr:colOff>420742</xdr:colOff>
      <xdr:row>9</xdr:row>
      <xdr:rowOff>23494</xdr:rowOff>
    </xdr:from>
    <xdr:to>
      <xdr:col>1</xdr:col>
      <xdr:colOff>743582</xdr:colOff>
      <xdr:row>10</xdr:row>
      <xdr:rowOff>95608</xdr:rowOff>
    </xdr:to>
    <xdr:sp macro="" textlink="">
      <xdr:nvSpPr>
        <xdr:cNvPr id="78" name="Text Box 244"/>
        <xdr:cNvSpPr txBox="1">
          <a:spLocks noChangeArrowheads="1"/>
        </xdr:cNvSpPr>
      </xdr:nvSpPr>
      <xdr:spPr bwMode="auto">
        <a:xfrm>
          <a:off x="1058917" y="1480819"/>
          <a:ext cx="322840" cy="234039"/>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C</a:t>
          </a:r>
          <a:r>
            <a:rPr lang="en-US" sz="1100" b="0" i="0" strike="noStrike" baseline="-25000">
              <a:solidFill>
                <a:srgbClr val="000000"/>
              </a:solidFill>
              <a:latin typeface="Arial" pitchFamily="34" charset="0"/>
              <a:cs typeface="Arial" pitchFamily="34" charset="0"/>
            </a:rPr>
            <a:t>IN</a:t>
          </a:r>
        </a:p>
      </xdr:txBody>
    </xdr:sp>
    <xdr:clientData/>
  </xdr:twoCellAnchor>
  <xdr:twoCellAnchor>
    <xdr:from>
      <xdr:col>6</xdr:col>
      <xdr:colOff>847596</xdr:colOff>
      <xdr:row>7</xdr:row>
      <xdr:rowOff>63609</xdr:rowOff>
    </xdr:from>
    <xdr:to>
      <xdr:col>7</xdr:col>
      <xdr:colOff>265709</xdr:colOff>
      <xdr:row>8</xdr:row>
      <xdr:rowOff>84849</xdr:rowOff>
    </xdr:to>
    <xdr:sp macro="" textlink="'Variable Mgmt'!B206">
      <xdr:nvSpPr>
        <xdr:cNvPr id="79" name="Text Box 267"/>
        <xdr:cNvSpPr txBox="1">
          <a:spLocks noChangeArrowheads="1" noTextEdit="1"/>
        </xdr:cNvSpPr>
      </xdr:nvSpPr>
      <xdr:spPr bwMode="auto">
        <a:xfrm>
          <a:off x="6543546" y="1197084"/>
          <a:ext cx="494438" cy="183165"/>
        </a:xfrm>
        <a:prstGeom prst="rect">
          <a:avLst/>
        </a:prstGeom>
        <a:noFill/>
        <a:ln w="9525">
          <a:noFill/>
          <a:miter lim="800000"/>
          <a:headEnd/>
          <a:tailEnd/>
        </a:ln>
      </xdr:spPr>
      <xdr:txBody>
        <a:bodyPr vertOverflow="clip" wrap="square" lIns="27432" tIns="22860" rIns="0" bIns="0" anchor="ctr" upright="1"/>
        <a:lstStyle/>
        <a:p>
          <a:pPr algn="l" rtl="0">
            <a:defRPr sz="1000"/>
          </a:pPr>
          <a:fld id="{DEF62FD0-959B-4627-B7E8-61CA1688D174}" type="TxLink">
            <a:rPr lang="en-US" sz="1100" b="0" i="0" u="none" strike="noStrike" baseline="0">
              <a:solidFill>
                <a:srgbClr val="000000"/>
              </a:solidFill>
              <a:latin typeface="Arial" pitchFamily="34" charset="0"/>
              <a:cs typeface="Arial" pitchFamily="34" charset="0"/>
            </a:rPr>
            <a:pPr algn="l" rtl="0">
              <a:defRPr sz="1000"/>
            </a:pPr>
            <a:t>47µF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5</xdr:col>
      <xdr:colOff>224042</xdr:colOff>
      <xdr:row>9</xdr:row>
      <xdr:rowOff>105784</xdr:rowOff>
    </xdr:from>
    <xdr:to>
      <xdr:col>5</xdr:col>
      <xdr:colOff>675647</xdr:colOff>
      <xdr:row>11</xdr:row>
      <xdr:rowOff>40383</xdr:rowOff>
    </xdr:to>
    <xdr:sp macro="" textlink="'Variable Mgmt'!B192">
      <xdr:nvSpPr>
        <xdr:cNvPr id="80" name="Text Box 275"/>
        <xdr:cNvSpPr txBox="1">
          <a:spLocks noChangeArrowheads="1" noTextEdit="1"/>
        </xdr:cNvSpPr>
      </xdr:nvSpPr>
      <xdr:spPr bwMode="auto">
        <a:xfrm>
          <a:off x="5015117" y="1563109"/>
          <a:ext cx="451605" cy="258449"/>
        </a:xfrm>
        <a:prstGeom prst="rect">
          <a:avLst/>
        </a:prstGeom>
        <a:noFill/>
        <a:ln w="9525">
          <a:noFill/>
          <a:miter lim="800000"/>
          <a:headEnd/>
          <a:tailEnd/>
        </a:ln>
      </xdr:spPr>
      <xdr:txBody>
        <a:bodyPr vertOverflow="clip" wrap="square" lIns="27432" tIns="22860" rIns="0" bIns="0" anchor="ctr" upright="1"/>
        <a:lstStyle/>
        <a:p>
          <a:pPr algn="ctr" rtl="0">
            <a:defRPr sz="1000"/>
          </a:pPr>
          <a:fld id="{08583DE7-3129-476B-98BE-2887A134E956}" type="TxLink">
            <a:rPr lang="en-US" sz="1100" b="0" i="0" u="none" strike="noStrike" baseline="0">
              <a:solidFill>
                <a:srgbClr val="000000"/>
              </a:solidFill>
              <a:latin typeface="Arial" pitchFamily="34" charset="0"/>
              <a:cs typeface="Arial" pitchFamily="34" charset="0"/>
            </a:rPr>
            <a:pPr algn="ctr" rtl="0">
              <a:defRPr sz="1000"/>
            </a:pPr>
            <a:t>7µH</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1</xdr:col>
      <xdr:colOff>329828</xdr:colOff>
      <xdr:row>10</xdr:row>
      <xdr:rowOff>96372</xdr:rowOff>
    </xdr:from>
    <xdr:to>
      <xdr:col>2</xdr:col>
      <xdr:colOff>37577</xdr:colOff>
      <xdr:row>11</xdr:row>
      <xdr:rowOff>132518</xdr:rowOff>
    </xdr:to>
    <xdr:sp macro="" textlink="'Variable Mgmt'!B211">
      <xdr:nvSpPr>
        <xdr:cNvPr id="81" name="Text Box 276"/>
        <xdr:cNvSpPr txBox="1">
          <a:spLocks noChangeArrowheads="1" noTextEdit="1"/>
        </xdr:cNvSpPr>
      </xdr:nvSpPr>
      <xdr:spPr bwMode="auto">
        <a:xfrm>
          <a:off x="968003" y="1715622"/>
          <a:ext cx="469749" cy="198071"/>
        </a:xfrm>
        <a:prstGeom prst="rect">
          <a:avLst/>
        </a:prstGeom>
        <a:noFill/>
        <a:ln w="9525">
          <a:noFill/>
          <a:miter lim="800000"/>
          <a:headEnd/>
          <a:tailEnd/>
        </a:ln>
      </xdr:spPr>
      <xdr:txBody>
        <a:bodyPr vertOverflow="clip" wrap="square" lIns="27432" tIns="22860" rIns="0" bIns="0" anchor="ctr" upright="1"/>
        <a:lstStyle/>
        <a:p>
          <a:pPr algn="ctr" rtl="0">
            <a:defRPr sz="1000"/>
          </a:pPr>
          <a:fld id="{7E8F3901-1453-4951-8E28-510E65401D4C}" type="TxLink">
            <a:rPr lang="en-US" sz="1100" b="0" i="0" u="none" strike="noStrike" baseline="0">
              <a:solidFill>
                <a:srgbClr val="000000"/>
              </a:solidFill>
              <a:latin typeface="Arial" pitchFamily="34" charset="0"/>
              <a:cs typeface="Arial" pitchFamily="34" charset="0"/>
            </a:rPr>
            <a:pPr algn="ctr" rtl="0">
              <a:defRPr sz="1000"/>
            </a:pPr>
            <a:t>10µF</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2</xdr:col>
      <xdr:colOff>198843</xdr:colOff>
      <xdr:row>21</xdr:row>
      <xdr:rowOff>104015</xdr:rowOff>
    </xdr:from>
    <xdr:to>
      <xdr:col>2</xdr:col>
      <xdr:colOff>642811</xdr:colOff>
      <xdr:row>23</xdr:row>
      <xdr:rowOff>62417</xdr:rowOff>
    </xdr:to>
    <xdr:sp macro="" textlink="'Variable Mgmt'!D238">
      <xdr:nvSpPr>
        <xdr:cNvPr id="82" name="Text Box 281"/>
        <xdr:cNvSpPr txBox="1">
          <a:spLocks noChangeArrowheads="1" noTextEdit="1"/>
        </xdr:cNvSpPr>
      </xdr:nvSpPr>
      <xdr:spPr bwMode="auto">
        <a:xfrm>
          <a:off x="1599018" y="3504440"/>
          <a:ext cx="443968" cy="282252"/>
        </a:xfrm>
        <a:prstGeom prst="rect">
          <a:avLst/>
        </a:prstGeom>
        <a:noFill/>
        <a:ln w="9525">
          <a:noFill/>
          <a:miter lim="800000"/>
          <a:headEnd/>
          <a:tailEnd/>
        </a:ln>
      </xdr:spPr>
      <xdr:txBody>
        <a:bodyPr vertOverflow="clip" wrap="square" lIns="27432" tIns="22860" rIns="0" bIns="0" anchor="ctr" upright="1"/>
        <a:lstStyle/>
        <a:p>
          <a:pPr algn="l" rtl="0">
            <a:defRPr sz="1000"/>
          </a:pPr>
          <a:fld id="{F2115F91-8BFD-4C9B-9969-8B2C04ADF4C5}" type="TxLink">
            <a:rPr lang="en-US" sz="1100" b="0" i="0" u="none" strike="noStrike">
              <a:solidFill>
                <a:srgbClr val="000000"/>
              </a:solidFill>
              <a:latin typeface="Arial"/>
              <a:cs typeface="Arial"/>
            </a:rPr>
            <a:pPr algn="l" rtl="0">
              <a:defRPr sz="1000"/>
            </a:pPr>
            <a:t>47nF</a:t>
          </a:fld>
          <a:endParaRPr lang="en-US" sz="1100" b="0" i="0" strike="noStrike">
            <a:solidFill>
              <a:srgbClr val="000000"/>
            </a:solidFill>
            <a:latin typeface="Arial" pitchFamily="34" charset="0"/>
            <a:cs typeface="Arial" pitchFamily="34" charset="0"/>
          </a:endParaRPr>
        </a:p>
      </xdr:txBody>
    </xdr:sp>
    <xdr:clientData/>
  </xdr:twoCellAnchor>
  <xdr:twoCellAnchor>
    <xdr:from>
      <xdr:col>0</xdr:col>
      <xdr:colOff>344923</xdr:colOff>
      <xdr:row>2</xdr:row>
      <xdr:rowOff>118526</xdr:rowOff>
    </xdr:from>
    <xdr:to>
      <xdr:col>1</xdr:col>
      <xdr:colOff>219275</xdr:colOff>
      <xdr:row>5</xdr:row>
      <xdr:rowOff>91586</xdr:rowOff>
    </xdr:to>
    <xdr:sp macro="" textlink="'Variable Mgmt'!B198">
      <xdr:nvSpPr>
        <xdr:cNvPr id="85" name="Text Box 283"/>
        <xdr:cNvSpPr txBox="1">
          <a:spLocks noChangeArrowheads="1" noTextEdit="1"/>
        </xdr:cNvSpPr>
      </xdr:nvSpPr>
      <xdr:spPr bwMode="auto">
        <a:xfrm>
          <a:off x="344923" y="442376"/>
          <a:ext cx="512527" cy="458835"/>
        </a:xfrm>
        <a:prstGeom prst="rect">
          <a:avLst/>
        </a:prstGeom>
        <a:noFill/>
        <a:ln w="9525">
          <a:noFill/>
          <a:miter lim="800000"/>
          <a:headEnd/>
          <a:tailEnd/>
        </a:ln>
      </xdr:spPr>
      <xdr:txBody>
        <a:bodyPr vertOverflow="clip" wrap="square" lIns="27432" tIns="22860" rIns="0" bIns="0" anchor="ctr" upright="1"/>
        <a:lstStyle/>
        <a:p>
          <a:pPr algn="r" rtl="0">
            <a:defRPr sz="1000"/>
          </a:pPr>
          <a:fld id="{211B0151-B00E-493E-8C8F-6E492416D93B}" type="TxLink">
            <a:rPr lang="en-US" sz="1400" b="1" i="0" u="none" strike="noStrike">
              <a:solidFill>
                <a:srgbClr val="FF0000"/>
              </a:solidFill>
              <a:latin typeface="Arial" pitchFamily="34" charset="0"/>
              <a:cs typeface="Arial" pitchFamily="34" charset="0"/>
            </a:rPr>
            <a:pPr algn="r" rtl="0">
              <a:defRPr sz="1000"/>
            </a:pPr>
            <a:t>13.5V</a:t>
          </a:fld>
          <a:endParaRPr lang="en-US" sz="1400" b="1" i="0" strike="noStrike">
            <a:solidFill>
              <a:srgbClr val="FF0000"/>
            </a:solidFill>
            <a:latin typeface="Arial" pitchFamily="34" charset="0"/>
            <a:cs typeface="Arial" pitchFamily="34" charset="0"/>
          </a:endParaRPr>
        </a:p>
      </xdr:txBody>
    </xdr:sp>
    <xdr:clientData/>
  </xdr:twoCellAnchor>
  <xdr:twoCellAnchor>
    <xdr:from>
      <xdr:col>7</xdr:col>
      <xdr:colOff>269013</xdr:colOff>
      <xdr:row>3</xdr:row>
      <xdr:rowOff>3197</xdr:rowOff>
    </xdr:from>
    <xdr:to>
      <xdr:col>7</xdr:col>
      <xdr:colOff>935407</xdr:colOff>
      <xdr:row>5</xdr:row>
      <xdr:rowOff>25976</xdr:rowOff>
    </xdr:to>
    <xdr:sp macro="" textlink="'Variable Mgmt'!B201">
      <xdr:nvSpPr>
        <xdr:cNvPr id="87" name="Text Box 285"/>
        <xdr:cNvSpPr txBox="1">
          <a:spLocks noChangeArrowheads="1" noTextEdit="1"/>
        </xdr:cNvSpPr>
      </xdr:nvSpPr>
      <xdr:spPr bwMode="auto">
        <a:xfrm>
          <a:off x="7041288" y="488972"/>
          <a:ext cx="666394" cy="346629"/>
        </a:xfrm>
        <a:prstGeom prst="rect">
          <a:avLst/>
        </a:prstGeom>
        <a:noFill/>
        <a:ln w="9525">
          <a:noFill/>
          <a:miter lim="800000"/>
          <a:headEnd/>
          <a:tailEnd/>
        </a:ln>
      </xdr:spPr>
      <xdr:txBody>
        <a:bodyPr vertOverflow="clip" wrap="square" lIns="27432" tIns="22860" rIns="0" bIns="0" anchor="ctr" upright="1"/>
        <a:lstStyle/>
        <a:p>
          <a:pPr algn="l" rtl="0">
            <a:defRPr sz="1000"/>
          </a:pPr>
          <a:fld id="{702C2B8A-7C4B-4FDB-B229-3170089D9686}" type="TxLink">
            <a:rPr lang="en-US" sz="1400" b="1" i="0" u="none" strike="noStrike" baseline="0">
              <a:solidFill>
                <a:srgbClr val="FF0000"/>
              </a:solidFill>
              <a:latin typeface="Arial" pitchFamily="34" charset="0"/>
              <a:cs typeface="Arial" pitchFamily="34" charset="0"/>
            </a:rPr>
            <a:pPr algn="l" rtl="0">
              <a:defRPr sz="1000"/>
            </a:pPr>
            <a:t>12V</a:t>
          </a:fld>
          <a:endParaRPr lang="en-US" sz="1400" b="1" i="0" u="none" strike="noStrike" baseline="0">
            <a:solidFill>
              <a:srgbClr val="FF0000"/>
            </a:solidFill>
            <a:latin typeface="Arial" pitchFamily="34" charset="0"/>
            <a:cs typeface="Arial" pitchFamily="34" charset="0"/>
          </a:endParaRPr>
        </a:p>
      </xdr:txBody>
    </xdr:sp>
    <xdr:clientData/>
  </xdr:twoCellAnchor>
  <xdr:twoCellAnchor>
    <xdr:from>
      <xdr:col>7</xdr:col>
      <xdr:colOff>173474</xdr:colOff>
      <xdr:row>4</xdr:row>
      <xdr:rowOff>112611</xdr:rowOff>
    </xdr:from>
    <xdr:to>
      <xdr:col>7</xdr:col>
      <xdr:colOff>725923</xdr:colOff>
      <xdr:row>6</xdr:row>
      <xdr:rowOff>93051</xdr:rowOff>
    </xdr:to>
    <xdr:sp macro="" textlink="'Variable Mgmt'!B256">
      <xdr:nvSpPr>
        <xdr:cNvPr id="88" name="Text Box 286"/>
        <xdr:cNvSpPr txBox="1">
          <a:spLocks noChangeArrowheads="1" noTextEdit="1"/>
        </xdr:cNvSpPr>
      </xdr:nvSpPr>
      <xdr:spPr bwMode="auto">
        <a:xfrm>
          <a:off x="6945749" y="760311"/>
          <a:ext cx="552449" cy="304290"/>
        </a:xfrm>
        <a:prstGeom prst="rect">
          <a:avLst/>
        </a:prstGeom>
        <a:noFill/>
        <a:ln w="9525">
          <a:noFill/>
          <a:miter lim="800000"/>
          <a:headEnd/>
          <a:tailEnd/>
        </a:ln>
      </xdr:spPr>
      <xdr:txBody>
        <a:bodyPr vertOverflow="clip" wrap="square" lIns="27432" tIns="22860" rIns="0" bIns="0" anchor="ctr" upright="1"/>
        <a:lstStyle/>
        <a:p>
          <a:pPr algn="ctr" rtl="0">
            <a:defRPr sz="1000"/>
          </a:pPr>
          <a:fld id="{E0FB88FA-F39E-4ACF-AB5E-DCB628763AAE}" type="TxLink">
            <a:rPr lang="en-US" sz="1350" b="1" i="0" u="none" strike="noStrike">
              <a:solidFill>
                <a:srgbClr val="FF0000"/>
              </a:solidFill>
              <a:latin typeface="Arial" pitchFamily="34" charset="0"/>
              <a:cs typeface="Arial" pitchFamily="34" charset="0"/>
            </a:rPr>
            <a:pPr algn="ctr" rtl="0">
              <a:defRPr sz="1000"/>
            </a:pPr>
            <a:t>0.8A</a:t>
          </a:fld>
          <a:endParaRPr lang="en-US" sz="1350" b="1" i="0" strike="noStrike">
            <a:solidFill>
              <a:srgbClr val="FF0000"/>
            </a:solidFill>
            <a:latin typeface="Arial" pitchFamily="34" charset="0"/>
            <a:cs typeface="Arial" pitchFamily="34" charset="0"/>
          </a:endParaRPr>
        </a:p>
      </xdr:txBody>
    </xdr:sp>
    <xdr:clientData/>
  </xdr:twoCellAnchor>
  <xdr:twoCellAnchor>
    <xdr:from>
      <xdr:col>2</xdr:col>
      <xdr:colOff>217360</xdr:colOff>
      <xdr:row>7</xdr:row>
      <xdr:rowOff>99362</xdr:rowOff>
    </xdr:from>
    <xdr:to>
      <xdr:col>2</xdr:col>
      <xdr:colOff>742058</xdr:colOff>
      <xdr:row>9</xdr:row>
      <xdr:rowOff>29041</xdr:rowOff>
    </xdr:to>
    <xdr:sp macro="" textlink="'Variable Mgmt'!C230">
      <xdr:nvSpPr>
        <xdr:cNvPr id="92" name="Text Box 268"/>
        <xdr:cNvSpPr txBox="1">
          <a:spLocks noChangeArrowheads="1" noTextEdit="1"/>
        </xdr:cNvSpPr>
      </xdr:nvSpPr>
      <xdr:spPr bwMode="auto">
        <a:xfrm>
          <a:off x="1617535" y="1232837"/>
          <a:ext cx="524698" cy="253529"/>
        </a:xfrm>
        <a:prstGeom prst="rect">
          <a:avLst/>
        </a:prstGeom>
        <a:noFill/>
        <a:ln w="9525">
          <a:noFill/>
          <a:miter lim="800000"/>
          <a:headEnd/>
          <a:tailEnd/>
        </a:ln>
      </xdr:spPr>
      <xdr:txBody>
        <a:bodyPr vertOverflow="clip" wrap="square" lIns="27432" tIns="22860" rIns="0" bIns="0" anchor="ctr" upright="1"/>
        <a:lstStyle/>
        <a:p>
          <a:pPr algn="l" rtl="0">
            <a:defRPr sz="1000"/>
          </a:pPr>
          <a:fld id="{9F0ED324-D4DC-458E-AFDF-B2BC6995B894}" type="TxLink">
            <a:rPr lang="en-US" sz="1000" b="0" i="0" u="none" strike="noStrike">
              <a:solidFill>
                <a:srgbClr val="000000"/>
              </a:solidFill>
              <a:latin typeface="Arial"/>
              <a:cs typeface="Arial"/>
            </a:rPr>
            <a:pPr algn="l" rtl="0">
              <a:defRPr sz="1000"/>
            </a:pPr>
            <a:t>261kΩ</a:t>
          </a:fld>
          <a:endParaRPr lang="el-GR" sz="1000" b="0" i="0" strike="noStrike">
            <a:solidFill>
              <a:srgbClr val="000000"/>
            </a:solidFill>
            <a:latin typeface="Arial" pitchFamily="34" charset="0"/>
            <a:cs typeface="Arial" pitchFamily="34" charset="0"/>
          </a:endParaRPr>
        </a:p>
      </xdr:txBody>
    </xdr:sp>
    <xdr:clientData/>
  </xdr:twoCellAnchor>
  <xdr:twoCellAnchor>
    <xdr:from>
      <xdr:col>2</xdr:col>
      <xdr:colOff>198310</xdr:colOff>
      <xdr:row>13</xdr:row>
      <xdr:rowOff>137646</xdr:rowOff>
    </xdr:from>
    <xdr:to>
      <xdr:col>2</xdr:col>
      <xdr:colOff>723008</xdr:colOff>
      <xdr:row>15</xdr:row>
      <xdr:rowOff>31908</xdr:rowOff>
    </xdr:to>
    <xdr:sp macro="" textlink="'Variable Mgmt'!C231">
      <xdr:nvSpPr>
        <xdr:cNvPr id="93" name="Text Box 268"/>
        <xdr:cNvSpPr txBox="1">
          <a:spLocks noChangeArrowheads="1" noTextEdit="1"/>
        </xdr:cNvSpPr>
      </xdr:nvSpPr>
      <xdr:spPr bwMode="auto">
        <a:xfrm>
          <a:off x="1598485" y="2242671"/>
          <a:ext cx="524698" cy="218112"/>
        </a:xfrm>
        <a:prstGeom prst="rect">
          <a:avLst/>
        </a:prstGeom>
        <a:noFill/>
        <a:ln w="9525">
          <a:noFill/>
          <a:miter lim="800000"/>
          <a:headEnd/>
          <a:tailEnd/>
        </a:ln>
      </xdr:spPr>
      <xdr:txBody>
        <a:bodyPr vertOverflow="clip" wrap="square" lIns="27432" tIns="22860" rIns="0" bIns="0" anchor="ctr" upright="1"/>
        <a:lstStyle/>
        <a:p>
          <a:pPr algn="l" rtl="0">
            <a:defRPr sz="1000"/>
          </a:pPr>
          <a:fld id="{34FF5C9F-E605-45FC-B7D1-F0CC0D61FE72}" type="TxLink">
            <a:rPr lang="en-US" sz="1000" b="0" i="0" u="none" strike="noStrike">
              <a:solidFill>
                <a:srgbClr val="000000"/>
              </a:solidFill>
              <a:latin typeface="Arial"/>
              <a:cs typeface="Arial"/>
            </a:rPr>
            <a:pPr algn="l" rtl="0">
              <a:defRPr sz="1000"/>
            </a:pPr>
            <a:t>86.6kΩ</a:t>
          </a:fld>
          <a:endParaRPr lang="el-GR" sz="1000" b="0" i="0" strike="noStrike">
            <a:solidFill>
              <a:srgbClr val="000000"/>
            </a:solidFill>
            <a:latin typeface="Arial" pitchFamily="34" charset="0"/>
            <a:cs typeface="Arial" pitchFamily="34" charset="0"/>
          </a:endParaRPr>
        </a:p>
      </xdr:txBody>
    </xdr:sp>
    <xdr:clientData/>
  </xdr:twoCellAnchor>
  <xdr:twoCellAnchor>
    <xdr:from>
      <xdr:col>4</xdr:col>
      <xdr:colOff>659751</xdr:colOff>
      <xdr:row>14</xdr:row>
      <xdr:rowOff>38988</xdr:rowOff>
    </xdr:from>
    <xdr:to>
      <xdr:col>5</xdr:col>
      <xdr:colOff>29192</xdr:colOff>
      <xdr:row>15</xdr:row>
      <xdr:rowOff>121560</xdr:rowOff>
    </xdr:to>
    <xdr:sp macro="" textlink="'Variable Mgmt'!C220">
      <xdr:nvSpPr>
        <xdr:cNvPr id="94" name="Text Box 268"/>
        <xdr:cNvSpPr txBox="1">
          <a:spLocks noChangeArrowheads="1" noTextEdit="1"/>
        </xdr:cNvSpPr>
      </xdr:nvSpPr>
      <xdr:spPr bwMode="auto">
        <a:xfrm>
          <a:off x="4298301" y="2305938"/>
          <a:ext cx="521966" cy="244497"/>
        </a:xfrm>
        <a:prstGeom prst="rect">
          <a:avLst/>
        </a:prstGeom>
        <a:noFill/>
        <a:ln w="9525">
          <a:noFill/>
          <a:miter lim="800000"/>
          <a:headEnd/>
          <a:tailEnd/>
        </a:ln>
      </xdr:spPr>
      <xdr:txBody>
        <a:bodyPr vertOverflow="clip" wrap="square" lIns="27432" tIns="22860" rIns="0" bIns="0" anchor="ctr" upright="1"/>
        <a:lstStyle/>
        <a:p>
          <a:pPr algn="l" rtl="0">
            <a:defRPr sz="1000"/>
          </a:pPr>
          <a:fld id="{748954DB-E280-498C-BC91-9439B9EC7524}" type="TxLink">
            <a:rPr lang="en-US" sz="1100" b="0" i="0" u="none" strike="noStrike">
              <a:solidFill>
                <a:srgbClr val="000000"/>
              </a:solidFill>
              <a:latin typeface="Arial"/>
              <a:cs typeface="Arial"/>
            </a:rPr>
            <a:pPr algn="l" rtl="0">
              <a:defRPr sz="1000"/>
            </a:pPr>
            <a:t>121kΩ</a:t>
          </a:fld>
          <a:endParaRPr lang="el-GR" sz="1800" b="0" i="0" strike="noStrike">
            <a:solidFill>
              <a:srgbClr val="000000"/>
            </a:solidFill>
            <a:latin typeface="Arial" pitchFamily="34" charset="0"/>
            <a:cs typeface="Arial" pitchFamily="34" charset="0"/>
          </a:endParaRPr>
        </a:p>
      </xdr:txBody>
    </xdr:sp>
    <xdr:clientData/>
  </xdr:twoCellAnchor>
  <xdr:twoCellAnchor>
    <xdr:from>
      <xdr:col>5</xdr:col>
      <xdr:colOff>157931</xdr:colOff>
      <xdr:row>20</xdr:row>
      <xdr:rowOff>88956</xdr:rowOff>
    </xdr:from>
    <xdr:to>
      <xdr:col>5</xdr:col>
      <xdr:colOff>672415</xdr:colOff>
      <xdr:row>21</xdr:row>
      <xdr:rowOff>128452</xdr:rowOff>
    </xdr:to>
    <xdr:sp macro="" textlink="'Variable Mgmt'!C234">
      <xdr:nvSpPr>
        <xdr:cNvPr id="95" name="Text Box 265"/>
        <xdr:cNvSpPr txBox="1">
          <a:spLocks noChangeArrowheads="1" noTextEdit="1"/>
        </xdr:cNvSpPr>
      </xdr:nvSpPr>
      <xdr:spPr bwMode="auto">
        <a:xfrm>
          <a:off x="4949006" y="3327456"/>
          <a:ext cx="514484" cy="201421"/>
        </a:xfrm>
        <a:prstGeom prst="rect">
          <a:avLst/>
        </a:prstGeom>
        <a:noFill/>
        <a:ln w="9525">
          <a:noFill/>
          <a:miter lim="800000"/>
          <a:headEnd/>
          <a:tailEnd/>
        </a:ln>
      </xdr:spPr>
      <xdr:txBody>
        <a:bodyPr vertOverflow="clip" wrap="square" lIns="27432" tIns="22860" rIns="0" bIns="0" anchor="t" upright="1"/>
        <a:lstStyle/>
        <a:p>
          <a:pPr algn="l" rtl="0">
            <a:defRPr sz="1000"/>
          </a:pPr>
          <a:fld id="{B2616B24-776D-472C-9328-875E07CFCCA9}" type="TxLink">
            <a:rPr lang="en-US" sz="1100" b="0" i="0" u="none" strike="noStrike" baseline="0">
              <a:solidFill>
                <a:srgbClr val="000000"/>
              </a:solidFill>
              <a:latin typeface="Arial"/>
              <a:cs typeface="Arial"/>
            </a:rPr>
            <a:pPr algn="l" rtl="0">
              <a:defRPr sz="1000"/>
            </a:pPr>
            <a:t>12.1kΩ</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0</xdr:col>
      <xdr:colOff>95250</xdr:colOff>
      <xdr:row>5</xdr:row>
      <xdr:rowOff>6666</xdr:rowOff>
    </xdr:from>
    <xdr:to>
      <xdr:col>1</xdr:col>
      <xdr:colOff>740109</xdr:colOff>
      <xdr:row>6</xdr:row>
      <xdr:rowOff>133349</xdr:rowOff>
    </xdr:to>
    <xdr:sp macro="" textlink="'Variable Mgmt'!B199">
      <xdr:nvSpPr>
        <xdr:cNvPr id="96" name="Text Box 283"/>
        <xdr:cNvSpPr txBox="1">
          <a:spLocks noChangeArrowheads="1" noTextEdit="1"/>
        </xdr:cNvSpPr>
      </xdr:nvSpPr>
      <xdr:spPr bwMode="auto">
        <a:xfrm>
          <a:off x="95250" y="816291"/>
          <a:ext cx="1283034" cy="288608"/>
        </a:xfrm>
        <a:prstGeom prst="rect">
          <a:avLst/>
        </a:prstGeom>
        <a:noFill/>
        <a:ln w="9525">
          <a:noFill/>
          <a:miter lim="800000"/>
          <a:headEnd/>
          <a:tailEnd/>
        </a:ln>
      </xdr:spPr>
      <xdr:txBody>
        <a:bodyPr vertOverflow="clip" wrap="square" lIns="27432" tIns="22860" rIns="0" bIns="0" anchor="t" upright="1"/>
        <a:lstStyle/>
        <a:p>
          <a:pPr algn="ctr" rtl="0">
            <a:defRPr sz="1000"/>
          </a:pPr>
          <a:fld id="{47315316-35F3-49E7-A4CE-EA42773D1FAE}" type="TxLink">
            <a:rPr lang="en-US" sz="1200" b="1" i="0" u="none" strike="noStrike">
              <a:solidFill>
                <a:srgbClr val="000000"/>
              </a:solidFill>
              <a:latin typeface="Arial"/>
              <a:cs typeface="Arial"/>
            </a:rPr>
            <a:pPr algn="ctr" rtl="0">
              <a:defRPr sz="1000"/>
            </a:pPr>
            <a:t>9V...42V</a:t>
          </a:fld>
          <a:endParaRPr lang="en-US" sz="1200" b="1" i="0" strike="noStrike">
            <a:solidFill>
              <a:srgbClr val="000000"/>
            </a:solidFill>
            <a:latin typeface="Arial" pitchFamily="34" charset="0"/>
            <a:cs typeface="Arial" pitchFamily="34" charset="0"/>
          </a:endParaRPr>
        </a:p>
      </xdr:txBody>
    </xdr:sp>
    <xdr:clientData/>
  </xdr:twoCellAnchor>
  <xdr:twoCellAnchor>
    <xdr:from>
      <xdr:col>4</xdr:col>
      <xdr:colOff>679229</xdr:colOff>
      <xdr:row>18</xdr:row>
      <xdr:rowOff>149860</xdr:rowOff>
    </xdr:from>
    <xdr:to>
      <xdr:col>4</xdr:col>
      <xdr:colOff>1010101</xdr:colOff>
      <xdr:row>20</xdr:row>
      <xdr:rowOff>77900</xdr:rowOff>
    </xdr:to>
    <xdr:sp macro="" textlink="'Variable Mgmt'!C226">
      <xdr:nvSpPr>
        <xdr:cNvPr id="97" name="Text Box 225"/>
        <xdr:cNvSpPr txBox="1">
          <a:spLocks noChangeArrowheads="1"/>
        </xdr:cNvSpPr>
      </xdr:nvSpPr>
      <xdr:spPr bwMode="auto">
        <a:xfrm>
          <a:off x="4317779" y="3064510"/>
          <a:ext cx="330872" cy="251890"/>
        </a:xfrm>
        <a:prstGeom prst="rect">
          <a:avLst/>
        </a:prstGeom>
        <a:noFill/>
        <a:ln w="9525">
          <a:noFill/>
          <a:miter lim="800000"/>
          <a:headEnd/>
          <a:tailEnd/>
        </a:ln>
      </xdr:spPr>
      <xdr:txBody>
        <a:bodyPr vertOverflow="clip" wrap="square" lIns="27432" tIns="27432" rIns="0" bIns="0" anchor="ctr" upright="1"/>
        <a:lstStyle/>
        <a:p>
          <a:pPr algn="l" rtl="0">
            <a:defRPr sz="1000"/>
          </a:pPr>
          <a:fld id="{C394427D-AAFB-4910-BFD4-26E4AF094E1D}" type="TxLink">
            <a:rPr lang="en-US" sz="1000" b="0" i="0" u="none" strike="noStrike">
              <a:solidFill>
                <a:srgbClr val="000000"/>
              </a:solidFill>
              <a:latin typeface="Arial"/>
              <a:cs typeface="Arial"/>
            </a:rPr>
            <a:pPr algn="l" rtl="0">
              <a:defRPr sz="1000"/>
            </a:pPr>
            <a:t>Rtc</a:t>
          </a:fld>
          <a:endParaRPr lang="en-US" sz="1100" b="0" i="0" strike="noStrike" baseline="-25000">
            <a:solidFill>
              <a:srgbClr val="000000"/>
            </a:solidFill>
            <a:latin typeface="Arial" pitchFamily="34" charset="0"/>
            <a:cs typeface="Arial" pitchFamily="34" charset="0"/>
          </a:endParaRPr>
        </a:p>
      </xdr:txBody>
    </xdr:sp>
    <xdr:clientData/>
  </xdr:twoCellAnchor>
  <xdr:twoCellAnchor>
    <xdr:from>
      <xdr:col>4</xdr:col>
      <xdr:colOff>631623</xdr:colOff>
      <xdr:row>20</xdr:row>
      <xdr:rowOff>71205</xdr:rowOff>
    </xdr:from>
    <xdr:to>
      <xdr:col>4</xdr:col>
      <xdr:colOff>1147003</xdr:colOff>
      <xdr:row>21</xdr:row>
      <xdr:rowOff>142012</xdr:rowOff>
    </xdr:to>
    <xdr:sp macro="" textlink="'Variable Mgmt'!B226">
      <xdr:nvSpPr>
        <xdr:cNvPr id="98" name="Text Box 268"/>
        <xdr:cNvSpPr txBox="1">
          <a:spLocks noChangeArrowheads="1" noTextEdit="1"/>
        </xdr:cNvSpPr>
      </xdr:nvSpPr>
      <xdr:spPr bwMode="auto">
        <a:xfrm>
          <a:off x="4270173" y="3309705"/>
          <a:ext cx="515380" cy="232732"/>
        </a:xfrm>
        <a:prstGeom prst="rect">
          <a:avLst/>
        </a:prstGeom>
        <a:noFill/>
        <a:ln w="9525">
          <a:noFill/>
          <a:miter lim="800000"/>
          <a:headEnd/>
          <a:tailEnd/>
        </a:ln>
      </xdr:spPr>
      <xdr:txBody>
        <a:bodyPr vertOverflow="clip" wrap="square" lIns="27432" tIns="22860" rIns="0" bIns="0" anchor="ctr" upright="1"/>
        <a:lstStyle/>
        <a:p>
          <a:pPr algn="l" rtl="0">
            <a:defRPr sz="1000"/>
          </a:pPr>
          <a:fld id="{35437053-6AF1-4CB6-8BC9-CEEF911045AA}" type="TxLink">
            <a:rPr lang="en-US" sz="1100" b="0" i="0" u="none" strike="noStrike">
              <a:solidFill>
                <a:srgbClr val="000000"/>
              </a:solidFill>
              <a:latin typeface="Arial"/>
              <a:cs typeface="Arial"/>
            </a:rPr>
            <a:pPr algn="l" rtl="0">
              <a:defRPr sz="1000"/>
            </a:pPr>
            <a:t>243kΩ</a:t>
          </a:fld>
          <a:endParaRPr lang="el-GR" sz="1100" b="0" i="0" strike="noStrike">
            <a:solidFill>
              <a:srgbClr val="000000"/>
            </a:solidFill>
            <a:latin typeface="Arial" pitchFamily="34" charset="0"/>
            <a:cs typeface="Arial" pitchFamily="34" charset="0"/>
          </a:endParaRPr>
        </a:p>
      </xdr:txBody>
    </xdr:sp>
    <xdr:clientData/>
  </xdr:twoCellAnchor>
  <xdr:twoCellAnchor>
    <xdr:from>
      <xdr:col>2</xdr:col>
      <xdr:colOff>237557</xdr:colOff>
      <xdr:row>6</xdr:row>
      <xdr:rowOff>57806</xdr:rowOff>
    </xdr:from>
    <xdr:to>
      <xdr:col>2</xdr:col>
      <xdr:colOff>639607</xdr:colOff>
      <xdr:row>7</xdr:row>
      <xdr:rowOff>125922</xdr:rowOff>
    </xdr:to>
    <xdr:sp macro="" textlink="'Variable Mgmt'!C229">
      <xdr:nvSpPr>
        <xdr:cNvPr id="99" name="Text Box 264"/>
        <xdr:cNvSpPr txBox="1">
          <a:spLocks noChangeArrowheads="1" noTextEdit="1"/>
        </xdr:cNvSpPr>
      </xdr:nvSpPr>
      <xdr:spPr bwMode="auto">
        <a:xfrm>
          <a:off x="1637732" y="1029356"/>
          <a:ext cx="402050" cy="230041"/>
        </a:xfrm>
        <a:prstGeom prst="rect">
          <a:avLst/>
        </a:prstGeom>
        <a:noFill/>
        <a:ln w="9525">
          <a:noFill/>
          <a:miter lim="800000"/>
          <a:headEnd/>
          <a:tailEnd/>
        </a:ln>
      </xdr:spPr>
      <xdr:txBody>
        <a:bodyPr vertOverflow="clip" wrap="square" lIns="27432" tIns="22860" rIns="0" bIns="0" anchor="ctr" upright="1"/>
        <a:lstStyle/>
        <a:p>
          <a:pPr algn="l" rtl="0">
            <a:defRPr sz="1000"/>
          </a:pPr>
          <a:fld id="{31380AD2-7EE8-49DF-ADF3-9022D781233D}" type="TxLink">
            <a:rPr lang="en-US" sz="1000" b="0" i="0" u="none" strike="noStrike" baseline="0">
              <a:solidFill>
                <a:srgbClr val="000000"/>
              </a:solidFill>
              <a:latin typeface="Arial"/>
              <a:cs typeface="Arial"/>
            </a:rPr>
            <a:pPr algn="l" rtl="0">
              <a:defRPr sz="1000"/>
            </a:pPr>
            <a:t>Ruv1</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2</xdr:col>
      <xdr:colOff>237557</xdr:colOff>
      <xdr:row>12</xdr:row>
      <xdr:rowOff>115234</xdr:rowOff>
    </xdr:from>
    <xdr:to>
      <xdr:col>2</xdr:col>
      <xdr:colOff>661587</xdr:colOff>
      <xdr:row>13</xdr:row>
      <xdr:rowOff>135750</xdr:rowOff>
    </xdr:to>
    <xdr:sp macro="" textlink="'Variable Mgmt'!D229">
      <xdr:nvSpPr>
        <xdr:cNvPr id="100" name="Text Box 264"/>
        <xdr:cNvSpPr txBox="1">
          <a:spLocks noChangeArrowheads="1" noTextEdit="1"/>
        </xdr:cNvSpPr>
      </xdr:nvSpPr>
      <xdr:spPr bwMode="auto">
        <a:xfrm>
          <a:off x="1637732" y="2058334"/>
          <a:ext cx="424030" cy="182441"/>
        </a:xfrm>
        <a:prstGeom prst="rect">
          <a:avLst/>
        </a:prstGeom>
        <a:noFill/>
        <a:ln w="9525">
          <a:noFill/>
          <a:miter lim="800000"/>
          <a:headEnd/>
          <a:tailEnd/>
        </a:ln>
      </xdr:spPr>
      <xdr:txBody>
        <a:bodyPr vertOverflow="clip" wrap="square" lIns="27432" tIns="22860" rIns="0" bIns="0" anchor="ctr" upright="1"/>
        <a:lstStyle/>
        <a:p>
          <a:pPr algn="l" rtl="0">
            <a:defRPr sz="1000"/>
          </a:pPr>
          <a:fld id="{873432C6-E14A-45C8-BEDA-C8EFF8641C5C}" type="TxLink">
            <a:rPr lang="en-US" sz="1000" b="0" i="0" u="none" strike="noStrike" baseline="0">
              <a:solidFill>
                <a:srgbClr val="000000"/>
              </a:solidFill>
              <a:latin typeface="Arial"/>
              <a:cs typeface="Arial"/>
            </a:rPr>
            <a:pPr algn="l" rtl="0">
              <a:defRPr sz="1000"/>
            </a:pPr>
            <a:t>Ruv2</a:t>
          </a:fld>
          <a:endParaRPr lang="el-GR" sz="1000" b="0" i="0" u="none" strike="noStrike" baseline="0">
            <a:solidFill>
              <a:srgbClr val="000000"/>
            </a:solidFill>
            <a:latin typeface="Arial" pitchFamily="34" charset="0"/>
            <a:cs typeface="Arial" pitchFamily="34" charset="0"/>
          </a:endParaRPr>
        </a:p>
      </xdr:txBody>
    </xdr:sp>
    <xdr:clientData/>
  </xdr:twoCellAnchor>
  <xdr:twoCellAnchor>
    <xdr:from>
      <xdr:col>2</xdr:col>
      <xdr:colOff>216427</xdr:colOff>
      <xdr:row>20</xdr:row>
      <xdr:rowOff>331</xdr:rowOff>
    </xdr:from>
    <xdr:to>
      <xdr:col>2</xdr:col>
      <xdr:colOff>660395</xdr:colOff>
      <xdr:row>22</xdr:row>
      <xdr:rowOff>12593</xdr:rowOff>
    </xdr:to>
    <xdr:sp macro="" textlink="'Variable Mgmt'!C239">
      <xdr:nvSpPr>
        <xdr:cNvPr id="101" name="Text Box 281"/>
        <xdr:cNvSpPr txBox="1">
          <a:spLocks noChangeArrowheads="1" noTextEdit="1"/>
        </xdr:cNvSpPr>
      </xdr:nvSpPr>
      <xdr:spPr bwMode="auto">
        <a:xfrm>
          <a:off x="1616602" y="3238831"/>
          <a:ext cx="443968" cy="336112"/>
        </a:xfrm>
        <a:prstGeom prst="rect">
          <a:avLst/>
        </a:prstGeom>
        <a:noFill/>
        <a:ln w="9525">
          <a:noFill/>
          <a:miter lim="800000"/>
          <a:headEnd/>
          <a:tailEnd/>
        </a:ln>
      </xdr:spPr>
      <xdr:txBody>
        <a:bodyPr vertOverflow="clip" wrap="square" lIns="27432" tIns="22860" rIns="0" bIns="0" anchor="ctr" upright="1"/>
        <a:lstStyle/>
        <a:p>
          <a:pPr algn="l" rtl="0">
            <a:defRPr sz="1000"/>
          </a:pPr>
          <a:fld id="{B81C36CF-66FD-4734-B04F-DAE82AF849A9}" type="TxLink">
            <a:rPr lang="en-US" sz="1100" b="0" i="0" u="none" strike="noStrike">
              <a:solidFill>
                <a:srgbClr val="000000"/>
              </a:solidFill>
              <a:latin typeface="Arial"/>
              <a:cs typeface="Arial"/>
            </a:rPr>
            <a:pPr algn="l" rtl="0">
              <a:defRPr sz="1000"/>
            </a:pPr>
            <a:t>Css</a:t>
          </a:fld>
          <a:endParaRPr lang="en-US" sz="1100" b="0" i="0" strike="noStrike">
            <a:solidFill>
              <a:srgbClr val="000000"/>
            </a:solidFill>
            <a:latin typeface="Arial" pitchFamily="34" charset="0"/>
            <a:cs typeface="Arial" pitchFamily="34" charset="0"/>
          </a:endParaRPr>
        </a:p>
      </xdr:txBody>
    </xdr:sp>
    <xdr:clientData/>
  </xdr:twoCellAnchor>
  <xdr:twoCellAnchor>
    <xdr:from>
      <xdr:col>4</xdr:col>
      <xdr:colOff>682414</xdr:colOff>
      <xdr:row>12</xdr:row>
      <xdr:rowOff>161265</xdr:rowOff>
    </xdr:from>
    <xdr:to>
      <xdr:col>4</xdr:col>
      <xdr:colOff>1005254</xdr:colOff>
      <xdr:row>14</xdr:row>
      <xdr:rowOff>69989</xdr:rowOff>
    </xdr:to>
    <xdr:sp macro="" textlink="">
      <xdr:nvSpPr>
        <xdr:cNvPr id="103" name="Text Box 244"/>
        <xdr:cNvSpPr txBox="1">
          <a:spLocks noChangeArrowheads="1"/>
        </xdr:cNvSpPr>
      </xdr:nvSpPr>
      <xdr:spPr bwMode="auto">
        <a:xfrm>
          <a:off x="4320964" y="2104365"/>
          <a:ext cx="322840" cy="232574"/>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FB</a:t>
          </a:r>
        </a:p>
      </xdr:txBody>
    </xdr:sp>
    <xdr:clientData/>
  </xdr:twoCellAnchor>
  <xdr:twoCellAnchor>
    <xdr:from>
      <xdr:col>5</xdr:col>
      <xdr:colOff>184207</xdr:colOff>
      <xdr:row>19</xdr:row>
      <xdr:rowOff>9801</xdr:rowOff>
    </xdr:from>
    <xdr:to>
      <xdr:col>5</xdr:col>
      <xdr:colOff>571224</xdr:colOff>
      <xdr:row>20</xdr:row>
      <xdr:rowOff>81258</xdr:rowOff>
    </xdr:to>
    <xdr:sp macro="" textlink="">
      <xdr:nvSpPr>
        <xdr:cNvPr id="104" name="Text Box 244"/>
        <xdr:cNvSpPr txBox="1">
          <a:spLocks noChangeArrowheads="1"/>
        </xdr:cNvSpPr>
      </xdr:nvSpPr>
      <xdr:spPr bwMode="auto">
        <a:xfrm>
          <a:off x="4975282" y="3086376"/>
          <a:ext cx="387017" cy="233382"/>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R</a:t>
          </a:r>
          <a:r>
            <a:rPr lang="en-US" sz="1100" b="0" i="0" strike="noStrike" baseline="-25000">
              <a:solidFill>
                <a:srgbClr val="000000"/>
              </a:solidFill>
              <a:latin typeface="Arial" pitchFamily="34" charset="0"/>
              <a:cs typeface="Arial" pitchFamily="34" charset="0"/>
            </a:rPr>
            <a:t>SET</a:t>
          </a:r>
        </a:p>
      </xdr:txBody>
    </xdr:sp>
    <xdr:clientData/>
  </xdr:twoCellAnchor>
  <xdr:twoCellAnchor>
    <xdr:from>
      <xdr:col>4</xdr:col>
      <xdr:colOff>216702</xdr:colOff>
      <xdr:row>5</xdr:row>
      <xdr:rowOff>7931</xdr:rowOff>
    </xdr:from>
    <xdr:to>
      <xdr:col>4</xdr:col>
      <xdr:colOff>680586</xdr:colOff>
      <xdr:row>6</xdr:row>
      <xdr:rowOff>105017</xdr:rowOff>
    </xdr:to>
    <xdr:sp macro="" textlink="">
      <xdr:nvSpPr>
        <xdr:cNvPr id="105" name="Text Box 235"/>
        <xdr:cNvSpPr txBox="1">
          <a:spLocks noChangeArrowheads="1"/>
        </xdr:cNvSpPr>
      </xdr:nvSpPr>
      <xdr:spPr bwMode="auto">
        <a:xfrm>
          <a:off x="3855252" y="817556"/>
          <a:ext cx="463884" cy="259011"/>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CLAMP</a:t>
          </a:r>
        </a:p>
      </xdr:txBody>
    </xdr:sp>
    <xdr:clientData/>
  </xdr:twoCellAnchor>
  <xdr:twoCellAnchor>
    <xdr:from>
      <xdr:col>4</xdr:col>
      <xdr:colOff>501318</xdr:colOff>
      <xdr:row>9</xdr:row>
      <xdr:rowOff>20387</xdr:rowOff>
    </xdr:from>
    <xdr:to>
      <xdr:col>4</xdr:col>
      <xdr:colOff>770618</xdr:colOff>
      <xdr:row>10</xdr:row>
      <xdr:rowOff>119671</xdr:rowOff>
    </xdr:to>
    <xdr:sp macro="" textlink="">
      <xdr:nvSpPr>
        <xdr:cNvPr id="126" name="Text Box 235"/>
        <xdr:cNvSpPr txBox="1">
          <a:spLocks noChangeArrowheads="1"/>
        </xdr:cNvSpPr>
      </xdr:nvSpPr>
      <xdr:spPr bwMode="auto">
        <a:xfrm>
          <a:off x="4139868" y="1477712"/>
          <a:ext cx="269300" cy="261209"/>
        </a:xfrm>
        <a:prstGeom prst="rect">
          <a:avLst/>
        </a:prstGeom>
        <a:noFill/>
        <a:ln w="9525">
          <a:noFill/>
          <a:miter lim="800000"/>
          <a:headEnd/>
          <a:tailEnd/>
        </a:ln>
      </xdr:spPr>
      <xdr:txBody>
        <a:bodyPr vertOverflow="clip" wrap="square" lIns="27432" tIns="27432" rIns="0" bIns="0" anchor="ctr" upright="1"/>
        <a:lstStyle/>
        <a:p>
          <a:pPr algn="l" rtl="0">
            <a:defRPr sz="1000"/>
          </a:pPr>
          <a:r>
            <a:rPr lang="en-US" sz="1100" b="0" i="0" strike="noStrike">
              <a:solidFill>
                <a:srgbClr val="000000"/>
              </a:solidFill>
              <a:latin typeface="Arial" pitchFamily="34" charset="0"/>
              <a:cs typeface="Arial" pitchFamily="34" charset="0"/>
            </a:rPr>
            <a:t>D</a:t>
          </a:r>
          <a:r>
            <a:rPr lang="en-US" sz="1100" b="0" i="0" strike="noStrike" baseline="-25000">
              <a:solidFill>
                <a:srgbClr val="000000"/>
              </a:solidFill>
              <a:latin typeface="Arial" pitchFamily="34" charset="0"/>
              <a:cs typeface="Arial" pitchFamily="34" charset="0"/>
            </a:rPr>
            <a:t>F</a:t>
          </a:r>
        </a:p>
      </xdr:txBody>
    </xdr:sp>
    <xdr:clientData/>
  </xdr:twoCellAnchor>
  <xdr:twoCellAnchor>
    <xdr:from>
      <xdr:col>5</xdr:col>
      <xdr:colOff>142399</xdr:colOff>
      <xdr:row>8</xdr:row>
      <xdr:rowOff>104775</xdr:rowOff>
    </xdr:from>
    <xdr:to>
      <xdr:col>5</xdr:col>
      <xdr:colOff>790575</xdr:colOff>
      <xdr:row>10</xdr:row>
      <xdr:rowOff>0</xdr:rowOff>
    </xdr:to>
    <xdr:sp macro="" textlink="'Variable Mgmt'!B194">
      <xdr:nvSpPr>
        <xdr:cNvPr id="127" name="Text Box 265"/>
        <xdr:cNvSpPr txBox="1">
          <a:spLocks noChangeArrowheads="1" noTextEdit="1"/>
        </xdr:cNvSpPr>
      </xdr:nvSpPr>
      <xdr:spPr bwMode="auto">
        <a:xfrm>
          <a:off x="4933474" y="1400175"/>
          <a:ext cx="648176" cy="219075"/>
        </a:xfrm>
        <a:prstGeom prst="rect">
          <a:avLst/>
        </a:prstGeom>
        <a:noFill/>
        <a:ln w="9525">
          <a:noFill/>
          <a:miter lim="800000"/>
          <a:headEnd/>
          <a:tailEnd/>
        </a:ln>
      </xdr:spPr>
      <xdr:txBody>
        <a:bodyPr vertOverflow="clip" wrap="square" lIns="27432" tIns="22860" rIns="0" bIns="0" anchor="t" upright="1"/>
        <a:lstStyle/>
        <a:p>
          <a:pPr algn="ctr" rtl="0">
            <a:defRPr sz="1000"/>
          </a:pPr>
          <a:fld id="{4DF3E085-FEDD-406F-9003-D894075812A3}" type="TxLink">
            <a:rPr lang="en-US" sz="1000" b="0" i="0" u="none" strike="noStrike" baseline="0">
              <a:solidFill>
                <a:srgbClr val="000000"/>
              </a:solidFill>
              <a:latin typeface="Arial"/>
              <a:cs typeface="Arial"/>
            </a:rPr>
            <a:pPr algn="ctr" rtl="0">
              <a:defRPr sz="1000"/>
            </a:pPr>
            <a:t>1 : 1</a:t>
          </a:fld>
          <a:endParaRPr lang="el-GR" sz="1200" b="0" i="0" u="none" strike="noStrike" baseline="0">
            <a:solidFill>
              <a:srgbClr val="000000"/>
            </a:solidFill>
            <a:latin typeface="Arial" pitchFamily="34" charset="0"/>
            <a:cs typeface="Arial" pitchFamily="34" charset="0"/>
          </a:endParaRPr>
        </a:p>
      </xdr:txBody>
    </xdr:sp>
    <xdr:clientData/>
  </xdr:twoCellAnchor>
  <xdr:twoCellAnchor>
    <xdr:from>
      <xdr:col>7</xdr:col>
      <xdr:colOff>288063</xdr:colOff>
      <xdr:row>11</xdr:row>
      <xdr:rowOff>136547</xdr:rowOff>
    </xdr:from>
    <xdr:to>
      <xdr:col>7</xdr:col>
      <xdr:colOff>954457</xdr:colOff>
      <xdr:row>13</xdr:row>
      <xdr:rowOff>159326</xdr:rowOff>
    </xdr:to>
    <xdr:sp macro="" textlink="'Variable Mgmt'!B202">
      <xdr:nvSpPr>
        <xdr:cNvPr id="128" name="Text Box 285"/>
        <xdr:cNvSpPr txBox="1">
          <a:spLocks noChangeArrowheads="1" noTextEdit="1"/>
        </xdr:cNvSpPr>
      </xdr:nvSpPr>
      <xdr:spPr bwMode="auto">
        <a:xfrm>
          <a:off x="7060338" y="1917722"/>
          <a:ext cx="666394" cy="346629"/>
        </a:xfrm>
        <a:prstGeom prst="rect">
          <a:avLst/>
        </a:prstGeom>
        <a:noFill/>
        <a:ln w="9525">
          <a:noFill/>
          <a:miter lim="800000"/>
          <a:headEnd/>
          <a:tailEnd/>
        </a:ln>
      </xdr:spPr>
      <xdr:txBody>
        <a:bodyPr vertOverflow="clip" wrap="square" lIns="27432" tIns="22860" rIns="0" bIns="0" anchor="ctr" upright="1"/>
        <a:lstStyle/>
        <a:p>
          <a:pPr algn="l" rtl="0">
            <a:defRPr sz="1000"/>
          </a:pPr>
          <a:fld id="{1EB32AF4-7354-4114-B6DF-5AD8FEB0166D}"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7</xdr:col>
      <xdr:colOff>133350</xdr:colOff>
      <xdr:row>13</xdr:row>
      <xdr:rowOff>74511</xdr:rowOff>
    </xdr:from>
    <xdr:to>
      <xdr:col>7</xdr:col>
      <xdr:colOff>733425</xdr:colOff>
      <xdr:row>15</xdr:row>
      <xdr:rowOff>54951</xdr:rowOff>
    </xdr:to>
    <xdr:sp macro="" textlink="'Variable Mgmt'!B257">
      <xdr:nvSpPr>
        <xdr:cNvPr id="129" name="Text Box 286"/>
        <xdr:cNvSpPr txBox="1">
          <a:spLocks noChangeArrowheads="1" noTextEdit="1"/>
        </xdr:cNvSpPr>
      </xdr:nvSpPr>
      <xdr:spPr bwMode="auto">
        <a:xfrm>
          <a:off x="6905625" y="2179536"/>
          <a:ext cx="600075" cy="304290"/>
        </a:xfrm>
        <a:prstGeom prst="rect">
          <a:avLst/>
        </a:prstGeom>
        <a:noFill/>
        <a:ln w="9525">
          <a:noFill/>
          <a:miter lim="800000"/>
          <a:headEnd/>
          <a:tailEnd/>
        </a:ln>
      </xdr:spPr>
      <xdr:txBody>
        <a:bodyPr vertOverflow="clip" wrap="square" lIns="27432" tIns="22860" rIns="0" bIns="0" anchor="ctr" upright="1"/>
        <a:lstStyle/>
        <a:p>
          <a:pPr algn="ctr" rtl="0">
            <a:defRPr sz="1000"/>
          </a:pPr>
          <a:fld id="{F430775D-5566-4B2B-9D86-4FABD1E02F13}" type="TxLink">
            <a:rPr lang="en-US" sz="1350" b="1" i="0" u="none" strike="noStrike">
              <a:solidFill>
                <a:srgbClr val="FF0000"/>
              </a:solidFill>
              <a:latin typeface="Arial"/>
              <a:cs typeface="Arial"/>
            </a:rPr>
            <a:pPr algn="ctr" rtl="0">
              <a:defRPr sz="1000"/>
            </a:pPr>
            <a:t> </a:t>
          </a:fld>
          <a:endParaRPr lang="en-US" sz="1350" b="1" i="0" strike="noStrike">
            <a:solidFill>
              <a:srgbClr val="FF0000"/>
            </a:solidFill>
            <a:latin typeface="Arial" pitchFamily="34" charset="0"/>
            <a:cs typeface="Arial" pitchFamily="34" charset="0"/>
          </a:endParaRPr>
        </a:p>
      </xdr:txBody>
    </xdr:sp>
    <xdr:clientData/>
  </xdr:twoCellAnchor>
  <xdr:twoCellAnchor>
    <xdr:from>
      <xdr:col>7</xdr:col>
      <xdr:colOff>278538</xdr:colOff>
      <xdr:row>14</xdr:row>
      <xdr:rowOff>146072</xdr:rowOff>
    </xdr:from>
    <xdr:to>
      <xdr:col>7</xdr:col>
      <xdr:colOff>944932</xdr:colOff>
      <xdr:row>17</xdr:row>
      <xdr:rowOff>6926</xdr:rowOff>
    </xdr:to>
    <xdr:sp macro="" textlink="'Variable Mgmt'!B203">
      <xdr:nvSpPr>
        <xdr:cNvPr id="130" name="Text Box 285"/>
        <xdr:cNvSpPr txBox="1">
          <a:spLocks noChangeArrowheads="1" noTextEdit="1"/>
        </xdr:cNvSpPr>
      </xdr:nvSpPr>
      <xdr:spPr bwMode="auto">
        <a:xfrm>
          <a:off x="7050813" y="2413022"/>
          <a:ext cx="666394" cy="346629"/>
        </a:xfrm>
        <a:prstGeom prst="rect">
          <a:avLst/>
        </a:prstGeom>
        <a:noFill/>
        <a:ln w="9525">
          <a:noFill/>
          <a:miter lim="800000"/>
          <a:headEnd/>
          <a:tailEnd/>
        </a:ln>
      </xdr:spPr>
      <xdr:txBody>
        <a:bodyPr vertOverflow="clip" wrap="square" lIns="27432" tIns="22860" rIns="0" bIns="0" anchor="ctr" upright="1"/>
        <a:lstStyle/>
        <a:p>
          <a:pPr algn="l" rtl="0">
            <a:defRPr sz="1000"/>
          </a:pPr>
          <a:fld id="{6CC6AC32-C574-4CE6-AE26-39476DAD0777}" type="TxLink">
            <a:rPr lang="en-US" sz="1350" b="1" i="0" u="none" strike="noStrike" baseline="0">
              <a:solidFill>
                <a:srgbClr val="FF0000"/>
              </a:solidFill>
              <a:latin typeface="Arial"/>
              <a:cs typeface="Arial"/>
            </a:rPr>
            <a:pPr algn="l" rtl="0">
              <a:defRPr sz="1000"/>
            </a:pPr>
            <a:t> </a:t>
          </a:fld>
          <a:endParaRPr lang="en-US" sz="1350" b="1" i="0" u="none" strike="noStrike" baseline="0">
            <a:solidFill>
              <a:srgbClr val="FF0000"/>
            </a:solidFill>
            <a:latin typeface="Arial" pitchFamily="34" charset="0"/>
            <a:cs typeface="Arial" pitchFamily="34" charset="0"/>
          </a:endParaRPr>
        </a:p>
      </xdr:txBody>
    </xdr:sp>
    <xdr:clientData/>
  </xdr:twoCellAnchor>
  <xdr:twoCellAnchor>
    <xdr:from>
      <xdr:col>7</xdr:col>
      <xdr:colOff>105866</xdr:colOff>
      <xdr:row>16</xdr:row>
      <xdr:rowOff>84036</xdr:rowOff>
    </xdr:from>
    <xdr:to>
      <xdr:col>7</xdr:col>
      <xdr:colOff>859940</xdr:colOff>
      <xdr:row>18</xdr:row>
      <xdr:rowOff>64476</xdr:rowOff>
    </xdr:to>
    <xdr:sp macro="" textlink="'Variable Mgmt'!B258">
      <xdr:nvSpPr>
        <xdr:cNvPr id="131" name="Text Box 286"/>
        <xdr:cNvSpPr txBox="1">
          <a:spLocks noChangeArrowheads="1" noTextEdit="1"/>
        </xdr:cNvSpPr>
      </xdr:nvSpPr>
      <xdr:spPr bwMode="auto">
        <a:xfrm>
          <a:off x="6878141" y="2674836"/>
          <a:ext cx="754074" cy="304290"/>
        </a:xfrm>
        <a:prstGeom prst="rect">
          <a:avLst/>
        </a:prstGeom>
        <a:noFill/>
        <a:ln w="9525">
          <a:noFill/>
          <a:miter lim="800000"/>
          <a:headEnd/>
          <a:tailEnd/>
        </a:ln>
      </xdr:spPr>
      <xdr:txBody>
        <a:bodyPr vertOverflow="clip" wrap="square" lIns="27432" tIns="22860" rIns="0" bIns="0" anchor="ctr" upright="1"/>
        <a:lstStyle/>
        <a:p>
          <a:pPr algn="ctr" rtl="0">
            <a:defRPr sz="1000"/>
          </a:pPr>
          <a:fld id="{21AE0BE5-7426-43AE-A5A8-768A4DEE6C58}" type="TxLink">
            <a:rPr lang="en-US" sz="1350" b="1" i="0" u="none" strike="noStrike">
              <a:solidFill>
                <a:srgbClr val="FF0000"/>
              </a:solidFill>
              <a:latin typeface="Arial"/>
              <a:cs typeface="Arial"/>
            </a:rPr>
            <a:pPr algn="ctr" rtl="0">
              <a:defRPr sz="1000"/>
            </a:pPr>
            <a:t> </a:t>
          </a:fld>
          <a:endParaRPr lang="en-US" sz="1350" b="1" i="0" strike="noStrike">
            <a:solidFill>
              <a:srgbClr val="FF0000"/>
            </a:solidFill>
            <a:latin typeface="Arial" pitchFamily="34" charset="0"/>
            <a:cs typeface="Arial" pitchFamily="34" charset="0"/>
          </a:endParaRPr>
        </a:p>
      </xdr:txBody>
    </xdr:sp>
    <xdr:clientData/>
  </xdr:twoCellAnchor>
  <xdr:twoCellAnchor>
    <xdr:from>
      <xdr:col>6</xdr:col>
      <xdr:colOff>847596</xdr:colOff>
      <xdr:row>13</xdr:row>
      <xdr:rowOff>111234</xdr:rowOff>
    </xdr:from>
    <xdr:to>
      <xdr:col>7</xdr:col>
      <xdr:colOff>265709</xdr:colOff>
      <xdr:row>14</xdr:row>
      <xdr:rowOff>132474</xdr:rowOff>
    </xdr:to>
    <xdr:sp macro="" textlink="'Variable Mgmt'!D206">
      <xdr:nvSpPr>
        <xdr:cNvPr id="132" name="Text Box 267"/>
        <xdr:cNvSpPr txBox="1">
          <a:spLocks noChangeArrowheads="1" noTextEdit="1"/>
        </xdr:cNvSpPr>
      </xdr:nvSpPr>
      <xdr:spPr bwMode="auto">
        <a:xfrm>
          <a:off x="6543546" y="2216259"/>
          <a:ext cx="494438" cy="183165"/>
        </a:xfrm>
        <a:prstGeom prst="rect">
          <a:avLst/>
        </a:prstGeom>
        <a:noFill/>
        <a:ln w="9525">
          <a:noFill/>
          <a:miter lim="800000"/>
          <a:headEnd/>
          <a:tailEnd/>
        </a:ln>
      </xdr:spPr>
      <xdr:txBody>
        <a:bodyPr vertOverflow="clip" wrap="square" lIns="27432" tIns="22860" rIns="0" bIns="0" anchor="ctr" upright="1"/>
        <a:lstStyle/>
        <a:p>
          <a:pPr algn="l" rtl="0">
            <a:defRPr sz="1000"/>
          </a:pPr>
          <a:fld id="{1BBBBB7F-554B-4BC8-BF86-B8FB4EA76457}" type="TxLink">
            <a:rPr lang="en-US" sz="1100" b="0" i="0" u="none" strike="noStrike" baseline="0">
              <a:solidFill>
                <a:srgbClr val="000000"/>
              </a:solidFill>
              <a:latin typeface="Arial"/>
              <a:cs typeface="Arial"/>
            </a:rPr>
            <a:pPr algn="l" rtl="0">
              <a:defRPr sz="1000"/>
            </a:pPr>
            <a:t> </a:t>
          </a:fld>
          <a:endParaRPr lang="en-US" sz="1100" b="0" i="0" u="none" strike="noStrike" baseline="0">
            <a:solidFill>
              <a:srgbClr val="000000"/>
            </a:solidFill>
            <a:latin typeface="Arial" pitchFamily="34" charset="0"/>
            <a:cs typeface="Arial" pitchFamily="34" charset="0"/>
          </a:endParaRPr>
        </a:p>
      </xdr:txBody>
    </xdr:sp>
    <xdr:clientData/>
  </xdr:twoCellAnchor>
  <xdr:twoCellAnchor>
    <xdr:from>
      <xdr:col>6</xdr:col>
      <xdr:colOff>847596</xdr:colOff>
      <xdr:row>16</xdr:row>
      <xdr:rowOff>35034</xdr:rowOff>
    </xdr:from>
    <xdr:to>
      <xdr:col>7</xdr:col>
      <xdr:colOff>265709</xdr:colOff>
      <xdr:row>17</xdr:row>
      <xdr:rowOff>56274</xdr:rowOff>
    </xdr:to>
    <xdr:sp macro="" textlink="'Variable Mgmt'!C206">
      <xdr:nvSpPr>
        <xdr:cNvPr id="133" name="Text Box 267"/>
        <xdr:cNvSpPr txBox="1">
          <a:spLocks noChangeArrowheads="1" noTextEdit="1"/>
        </xdr:cNvSpPr>
      </xdr:nvSpPr>
      <xdr:spPr bwMode="auto">
        <a:xfrm>
          <a:off x="6543546" y="2625834"/>
          <a:ext cx="494438" cy="183165"/>
        </a:xfrm>
        <a:prstGeom prst="rect">
          <a:avLst/>
        </a:prstGeom>
        <a:noFill/>
        <a:ln w="9525">
          <a:noFill/>
          <a:miter lim="800000"/>
          <a:headEnd/>
          <a:tailEnd/>
        </a:ln>
      </xdr:spPr>
      <xdr:txBody>
        <a:bodyPr vertOverflow="clip" wrap="square" lIns="27432" tIns="22860" rIns="0" bIns="0" anchor="ctr" upright="1"/>
        <a:lstStyle/>
        <a:p>
          <a:pPr algn="l" rtl="0">
            <a:defRPr sz="1000"/>
          </a:pPr>
          <a:fld id="{EB8BEA1C-AFA8-40F4-BE4F-A41F4D085390}" type="TxLink">
            <a:rPr lang="en-US" sz="1100" b="0" i="0" u="none" strike="noStrike" baseline="0">
              <a:solidFill>
                <a:srgbClr val="000000"/>
              </a:solidFill>
              <a:latin typeface="Arial"/>
              <a:cs typeface="Arial"/>
            </a:rPr>
            <a:pPr algn="l" rtl="0">
              <a:defRPr sz="1000"/>
            </a:pPr>
            <a:t> </a:t>
          </a:fld>
          <a:endParaRPr lang="en-US" sz="1400" b="0" i="0" u="none" strike="noStrike" baseline="0">
            <a:solidFill>
              <a:srgbClr val="000000"/>
            </a:solidFill>
            <a:latin typeface="Arial" pitchFamily="34" charset="0"/>
            <a:cs typeface="Arial" pitchFamily="34" charset="0"/>
          </a:endParaRPr>
        </a:p>
      </xdr:txBody>
    </xdr:sp>
    <xdr:clientData/>
  </xdr:twoCellAnchor>
  <xdr:twoCellAnchor>
    <xdr:from>
      <xdr:col>5</xdr:col>
      <xdr:colOff>262430</xdr:colOff>
      <xdr:row>2</xdr:row>
      <xdr:rowOff>13969</xdr:rowOff>
    </xdr:from>
    <xdr:to>
      <xdr:col>5</xdr:col>
      <xdr:colOff>585270</xdr:colOff>
      <xdr:row>3</xdr:row>
      <xdr:rowOff>86083</xdr:rowOff>
    </xdr:to>
    <xdr:sp macro="" textlink="">
      <xdr:nvSpPr>
        <xdr:cNvPr id="134" name="Text Box 244"/>
        <xdr:cNvSpPr txBox="1">
          <a:spLocks noChangeArrowheads="1"/>
        </xdr:cNvSpPr>
      </xdr:nvSpPr>
      <xdr:spPr bwMode="auto">
        <a:xfrm>
          <a:off x="5053505" y="337819"/>
          <a:ext cx="322840" cy="234039"/>
        </a:xfrm>
        <a:prstGeom prst="rect">
          <a:avLst/>
        </a:prstGeom>
        <a:noFill/>
        <a:ln w="9525">
          <a:noFill/>
          <a:miter lim="800000"/>
          <a:headEnd/>
          <a:tailEnd/>
        </a:ln>
      </xdr:spPr>
      <xdr:txBody>
        <a:bodyPr vertOverflow="clip" wrap="square" lIns="27432" tIns="27432" rIns="0" bIns="0" anchor="t" upright="1"/>
        <a:lstStyle/>
        <a:p>
          <a:pPr algn="ctr" rtl="0">
            <a:defRPr sz="1000"/>
          </a:pPr>
          <a:r>
            <a:rPr lang="en-US" sz="1100" b="0" i="0" strike="noStrike">
              <a:solidFill>
                <a:srgbClr val="000000"/>
              </a:solidFill>
              <a:latin typeface="Arial" pitchFamily="34" charset="0"/>
              <a:cs typeface="Arial" pitchFamily="34" charset="0"/>
            </a:rPr>
            <a:t>T</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5</xdr:col>
          <xdr:colOff>895350</xdr:colOff>
          <xdr:row>32</xdr:row>
          <xdr:rowOff>9525</xdr:rowOff>
        </xdr:from>
        <xdr:to>
          <xdr:col>6</xdr:col>
          <xdr:colOff>866775</xdr:colOff>
          <xdr:row>33</xdr:row>
          <xdr:rowOff>0</xdr:rowOff>
        </xdr:to>
        <xdr:sp macro="" textlink="">
          <xdr:nvSpPr>
            <xdr:cNvPr id="706019" name="Drop Down 1507" hidden="1">
              <a:extLst>
                <a:ext uri="{63B3BB69-23CF-44E3-9099-C40C66FF867C}">
                  <a14:compatExt spid="_x0000_s706019"/>
                </a:ext>
              </a:extLst>
            </xdr:cNvPr>
            <xdr:cNvSpPr/>
          </xdr:nvSpPr>
          <xdr:spPr>
            <a:xfrm>
              <a:off x="0" y="0"/>
              <a:ext cx="0" cy="0"/>
            </a:xfrm>
            <a:prstGeom prst="rect">
              <a:avLst/>
            </a:prstGeom>
          </xdr:spPr>
        </xdr:sp>
        <xdr:clientData/>
      </xdr:twoCellAnchor>
    </mc:Choice>
    <mc:Fallback/>
  </mc:AlternateContent>
  <xdr:twoCellAnchor>
    <xdr:from>
      <xdr:col>3</xdr:col>
      <xdr:colOff>382642</xdr:colOff>
      <xdr:row>7</xdr:row>
      <xdr:rowOff>137794</xdr:rowOff>
    </xdr:from>
    <xdr:to>
      <xdr:col>3</xdr:col>
      <xdr:colOff>705482</xdr:colOff>
      <xdr:row>9</xdr:row>
      <xdr:rowOff>47983</xdr:rowOff>
    </xdr:to>
    <xdr:sp macro="" textlink="">
      <xdr:nvSpPr>
        <xdr:cNvPr id="47" name="Text Box 244"/>
        <xdr:cNvSpPr txBox="1">
          <a:spLocks noChangeArrowheads="1"/>
        </xdr:cNvSpPr>
      </xdr:nvSpPr>
      <xdr:spPr bwMode="auto">
        <a:xfrm>
          <a:off x="2678167" y="1271269"/>
          <a:ext cx="322840" cy="234039"/>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Arial" pitchFamily="34" charset="0"/>
              <a:cs typeface="Arial" pitchFamily="34" charset="0"/>
            </a:rPr>
            <a:t>U</a:t>
          </a:r>
          <a:r>
            <a:rPr lang="en-US" sz="1100" b="0" i="0" strike="noStrike" baseline="-25000">
              <a:solidFill>
                <a:srgbClr val="000000"/>
              </a:solidFill>
              <a:latin typeface="Arial" pitchFamily="34" charset="0"/>
              <a:cs typeface="Arial" pitchFamily="34" charset="0"/>
            </a:rPr>
            <a:t>1</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38</xdr:row>
          <xdr:rowOff>9525</xdr:rowOff>
        </xdr:from>
        <xdr:to>
          <xdr:col>6</xdr:col>
          <xdr:colOff>876300</xdr:colOff>
          <xdr:row>39</xdr:row>
          <xdr:rowOff>0</xdr:rowOff>
        </xdr:to>
        <xdr:sp macro="" textlink="">
          <xdr:nvSpPr>
            <xdr:cNvPr id="706028" name="Drop Down 1516" hidden="1">
              <a:extLst>
                <a:ext uri="{63B3BB69-23CF-44E3-9099-C40C66FF867C}">
                  <a14:compatExt spid="_x0000_s706028"/>
                </a:ext>
              </a:extLst>
            </xdr:cNvPr>
            <xdr:cNvSpPr/>
          </xdr:nvSpPr>
          <xdr:spPr>
            <a:xfrm>
              <a:off x="0" y="0"/>
              <a:ext cx="0" cy="0"/>
            </a:xfrm>
            <a:prstGeom prst="rect">
              <a:avLst/>
            </a:prstGeom>
          </xdr:spPr>
        </xdr:sp>
        <xdr:clientData/>
      </xdr:twoCellAnchor>
    </mc:Choice>
    <mc:Fallback/>
  </mc:AlternateContent>
  <xdr:twoCellAnchor>
    <xdr:from>
      <xdr:col>3</xdr:col>
      <xdr:colOff>495300</xdr:colOff>
      <xdr:row>13</xdr:row>
      <xdr:rowOff>76200</xdr:rowOff>
    </xdr:from>
    <xdr:to>
      <xdr:col>3</xdr:col>
      <xdr:colOff>1228725</xdr:colOff>
      <xdr:row>15</xdr:row>
      <xdr:rowOff>66675</xdr:rowOff>
    </xdr:to>
    <xdr:sp macro="" textlink="">
      <xdr:nvSpPr>
        <xdr:cNvPr id="49" name="TextBox 48"/>
        <xdr:cNvSpPr txBox="1"/>
      </xdr:nvSpPr>
      <xdr:spPr bwMode="auto">
        <a:xfrm>
          <a:off x="2790825" y="2181225"/>
          <a:ext cx="733425" cy="314325"/>
        </a:xfrm>
        <a:prstGeom prst="rect">
          <a:avLst/>
        </a:prstGeom>
        <a:solidFill>
          <a:srgbClr val="CCFFFF"/>
        </a:solidFill>
        <a:ln w="9525">
          <a:noFill/>
          <a:miter lim="800000"/>
          <a:headEnd/>
          <a:tailEnd/>
        </a:ln>
      </xdr:spPr>
      <xdr:txBody>
        <a:bodyPr vertOverflow="clip" horzOverflow="clip" wrap="square" lIns="27432" tIns="27432" rIns="0" bIns="0" rtlCol="0" anchor="t" upright="1"/>
        <a:lstStyle/>
        <a:p>
          <a:pPr algn="l" rtl="0"/>
          <a:r>
            <a:rPr lang="en-US" sz="1400" b="1" i="0" strike="noStrike">
              <a:solidFill>
                <a:srgbClr val="FF0000"/>
              </a:solidFill>
              <a:latin typeface="Arial" panose="020B0604020202020204" pitchFamily="34" charset="0"/>
              <a:cs typeface="Arial" panose="020B0604020202020204" pitchFamily="34" charset="0"/>
            </a:rPr>
            <a:t>LM5181</a:t>
          </a:r>
          <a:endParaRPr lang="en-US" sz="1100" b="1" i="0" strike="noStrike">
            <a:solidFill>
              <a:srgbClr val="FF0000"/>
            </a:solidFill>
            <a:latin typeface="Arial" panose="020B0604020202020204" pitchFamily="34" charset="0"/>
            <a:cs typeface="Arial" panose="020B0604020202020204" pitchFamily="34" charset="0"/>
          </a:endParaRPr>
        </a:p>
      </xdr:txBody>
    </xdr:sp>
    <xdr:clientData/>
  </xdr:twoCellAnchor>
  <xdr:twoCellAnchor>
    <xdr:from>
      <xdr:col>3</xdr:col>
      <xdr:colOff>428625</xdr:colOff>
      <xdr:row>13</xdr:row>
      <xdr:rowOff>38100</xdr:rowOff>
    </xdr:from>
    <xdr:to>
      <xdr:col>3</xdr:col>
      <xdr:colOff>1285875</xdr:colOff>
      <xdr:row>15</xdr:row>
      <xdr:rowOff>28575</xdr:rowOff>
    </xdr:to>
    <xdr:sp macro="" textlink="'Variable Mgmt'!R20">
      <xdr:nvSpPr>
        <xdr:cNvPr id="51" name="TextBox 50"/>
        <xdr:cNvSpPr txBox="1"/>
      </xdr:nvSpPr>
      <xdr:spPr bwMode="auto">
        <a:xfrm>
          <a:off x="2724150" y="2143125"/>
          <a:ext cx="857250" cy="314325"/>
        </a:xfrm>
        <a:prstGeom prst="rect">
          <a:avLst/>
        </a:prstGeom>
        <a:solidFill>
          <a:srgbClr val="CCFFFF"/>
        </a:solidFill>
        <a:ln w="9525">
          <a:noFill/>
          <a:miter lim="800000"/>
          <a:headEnd/>
          <a:tailEnd/>
        </a:ln>
      </xdr:spPr>
      <xdr:txBody>
        <a:bodyPr vertOverflow="clip" horzOverflow="clip" wrap="square" lIns="27432" tIns="27432" rIns="0" bIns="0" rtlCol="0" anchor="ctr" upright="1"/>
        <a:lstStyle/>
        <a:p>
          <a:pPr algn="l" rtl="0"/>
          <a:fld id="{2D1F34BE-62E1-4CF4-9DB2-2839E96E58D3}" type="TxLink">
            <a:rPr lang="en-US" sz="1400" b="1" i="0" u="none" strike="noStrike">
              <a:solidFill>
                <a:srgbClr val="FF0000"/>
              </a:solidFill>
              <a:latin typeface="Arial"/>
              <a:cs typeface="Arial"/>
            </a:rPr>
            <a:pPr algn="l" rtl="0"/>
            <a:t>LM25184</a:t>
          </a:fld>
          <a:endParaRPr lang="en-US" sz="1800" b="1" i="0" strike="noStrike">
            <a:solidFill>
              <a:srgbClr val="FF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39</xdr:row>
          <xdr:rowOff>9525</xdr:rowOff>
        </xdr:from>
        <xdr:to>
          <xdr:col>6</xdr:col>
          <xdr:colOff>876300</xdr:colOff>
          <xdr:row>40</xdr:row>
          <xdr:rowOff>0</xdr:rowOff>
        </xdr:to>
        <xdr:sp macro="" textlink="">
          <xdr:nvSpPr>
            <xdr:cNvPr id="706335" name="Drop Down 1823" hidden="1">
              <a:extLst>
                <a:ext uri="{63B3BB69-23CF-44E3-9099-C40C66FF867C}">
                  <a14:compatExt spid="_x0000_s70633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7</xdr:row>
      <xdr:rowOff>114300</xdr:rowOff>
    </xdr:from>
    <xdr:to>
      <xdr:col>10</xdr:col>
      <xdr:colOff>171450</xdr:colOff>
      <xdr:row>30</xdr:row>
      <xdr:rowOff>19050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1781175"/>
          <a:ext cx="5724525"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542925</xdr:colOff>
      <xdr:row>32</xdr:row>
      <xdr:rowOff>0</xdr:rowOff>
    </xdr:from>
    <xdr:to>
      <xdr:col>10</xdr:col>
      <xdr:colOff>161925</xdr:colOff>
      <xdr:row>54</xdr:row>
      <xdr:rowOff>66675</xdr:rowOff>
    </xdr:to>
    <xdr:pic>
      <xdr:nvPicPr>
        <xdr:cNvPr id="5" name="Picture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5715000"/>
          <a:ext cx="5715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447675</xdr:colOff>
          <xdr:row>6</xdr:row>
          <xdr:rowOff>19050</xdr:rowOff>
        </xdr:from>
        <xdr:to>
          <xdr:col>10</xdr:col>
          <xdr:colOff>666750</xdr:colOff>
          <xdr:row>7</xdr:row>
          <xdr:rowOff>95250</xdr:rowOff>
        </xdr:to>
        <xdr:sp macro="" textlink="">
          <xdr:nvSpPr>
            <xdr:cNvPr id="721921" name="Drop Down 1" hidden="1">
              <a:extLst>
                <a:ext uri="{63B3BB69-23CF-44E3-9099-C40C66FF867C}">
                  <a14:compatExt spid="_x0000_s721921"/>
                </a:ext>
              </a:extLst>
            </xdr:cNvPr>
            <xdr:cNvSpPr/>
          </xdr:nvSpPr>
          <xdr:spPr>
            <a:xfrm>
              <a:off x="0" y="0"/>
              <a:ext cx="0" cy="0"/>
            </a:xfrm>
            <a:prstGeom prst="rect">
              <a:avLst/>
            </a:prstGeom>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8</xdr:col>
      <xdr:colOff>152400</xdr:colOff>
      <xdr:row>9</xdr:row>
      <xdr:rowOff>0</xdr:rowOff>
    </xdr:from>
    <xdr:to>
      <xdr:col>23</xdr:col>
      <xdr:colOff>38100</xdr:colOff>
      <xdr:row>40</xdr:row>
      <xdr:rowOff>1732</xdr:rowOff>
    </xdr:to>
    <xdr:graphicFrame macro="">
      <xdr:nvGraphicFramePr>
        <xdr:cNvPr id="3"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142875</xdr:colOff>
      <xdr:row>40</xdr:row>
      <xdr:rowOff>123825</xdr:rowOff>
    </xdr:from>
    <xdr:to>
      <xdr:col>23</xdr:col>
      <xdr:colOff>19050</xdr:colOff>
      <xdr:row>71</xdr:row>
      <xdr:rowOff>125557</xdr:rowOff>
    </xdr:to>
    <xdr:graphicFrame macro="">
      <xdr:nvGraphicFramePr>
        <xdr:cNvPr id="4"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542925</xdr:colOff>
      <xdr:row>40</xdr:row>
      <xdr:rowOff>95250</xdr:rowOff>
    </xdr:from>
    <xdr:to>
      <xdr:col>40</xdr:col>
      <xdr:colOff>38100</xdr:colOff>
      <xdr:row>71</xdr:row>
      <xdr:rowOff>96982</xdr:rowOff>
    </xdr:to>
    <xdr:graphicFrame macro="">
      <xdr:nvGraphicFramePr>
        <xdr:cNvPr id="6"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552450</xdr:colOff>
      <xdr:row>8</xdr:row>
      <xdr:rowOff>142875</xdr:rowOff>
    </xdr:from>
    <xdr:to>
      <xdr:col>40</xdr:col>
      <xdr:colOff>47625</xdr:colOff>
      <xdr:row>39</xdr:row>
      <xdr:rowOff>144607</xdr:rowOff>
    </xdr:to>
    <xdr:graphicFrame macro="">
      <xdr:nvGraphicFramePr>
        <xdr:cNvPr id="7"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159205</xdr:colOff>
      <xdr:row>72</xdr:row>
      <xdr:rowOff>27213</xdr:rowOff>
    </xdr:from>
    <xdr:to>
      <xdr:col>39</xdr:col>
      <xdr:colOff>495300</xdr:colOff>
      <xdr:row>101</xdr:row>
      <xdr:rowOff>9525</xdr:rowOff>
    </xdr:to>
    <xdr:graphicFrame macro="">
      <xdr:nvGraphicFramePr>
        <xdr:cNvPr id="9"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342900</xdr:colOff>
      <xdr:row>9</xdr:row>
      <xdr:rowOff>19050</xdr:rowOff>
    </xdr:from>
    <xdr:to>
      <xdr:col>27</xdr:col>
      <xdr:colOff>47625</xdr:colOff>
      <xdr:row>40</xdr:row>
      <xdr:rowOff>20782</xdr:rowOff>
    </xdr:to>
    <xdr:graphicFrame macro="">
      <xdr:nvGraphicFramePr>
        <xdr:cNvPr id="2"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352425</xdr:colOff>
      <xdr:row>41</xdr:row>
      <xdr:rowOff>0</xdr:rowOff>
    </xdr:from>
    <xdr:to>
      <xdr:col>27</xdr:col>
      <xdr:colOff>57150</xdr:colOff>
      <xdr:row>72</xdr:row>
      <xdr:rowOff>1732</xdr:rowOff>
    </xdr:to>
    <xdr:graphicFrame macro="">
      <xdr:nvGraphicFramePr>
        <xdr:cNvPr id="3"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194582</xdr:colOff>
      <xdr:row>41</xdr:row>
      <xdr:rowOff>21771</xdr:rowOff>
    </xdr:from>
    <xdr:to>
      <xdr:col>47</xdr:col>
      <xdr:colOff>123825</xdr:colOff>
      <xdr:row>72</xdr:row>
      <xdr:rowOff>23503</xdr:rowOff>
    </xdr:to>
    <xdr:graphicFrame macro="">
      <xdr:nvGraphicFramePr>
        <xdr:cNvPr id="4"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228600</xdr:colOff>
      <xdr:row>9</xdr:row>
      <xdr:rowOff>28575</xdr:rowOff>
    </xdr:from>
    <xdr:to>
      <xdr:col>47</xdr:col>
      <xdr:colOff>19050</xdr:colOff>
      <xdr:row>40</xdr:row>
      <xdr:rowOff>30307</xdr:rowOff>
    </xdr:to>
    <xdr:graphicFrame macro="">
      <xdr:nvGraphicFramePr>
        <xdr:cNvPr id="5"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329046</xdr:colOff>
      <xdr:row>72</xdr:row>
      <xdr:rowOff>138546</xdr:rowOff>
    </xdr:from>
    <xdr:to>
      <xdr:col>27</xdr:col>
      <xdr:colOff>33771</xdr:colOff>
      <xdr:row>103</xdr:row>
      <xdr:rowOff>140278</xdr:rowOff>
    </xdr:to>
    <xdr:graphicFrame macro="">
      <xdr:nvGraphicFramePr>
        <xdr:cNvPr id="6"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12</xdr:row>
      <xdr:rowOff>0</xdr:rowOff>
    </xdr:from>
    <xdr:to>
      <xdr:col>33</xdr:col>
      <xdr:colOff>248709</xdr:colOff>
      <xdr:row>40</xdr:row>
      <xdr:rowOff>61288</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111</xdr:row>
      <xdr:rowOff>114300</xdr:rowOff>
    </xdr:from>
    <xdr:to>
      <xdr:col>20</xdr:col>
      <xdr:colOff>161925</xdr:colOff>
      <xdr:row>144</xdr:row>
      <xdr:rowOff>76200</xdr:rowOff>
    </xdr:to>
    <xdr:graphicFrame macro="">
      <xdr:nvGraphicFramePr>
        <xdr:cNvPr id="3"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1600199</xdr:colOff>
      <xdr:row>4</xdr:row>
      <xdr:rowOff>95250</xdr:rowOff>
    </xdr:from>
    <xdr:to>
      <xdr:col>4</xdr:col>
      <xdr:colOff>3267074</xdr:colOff>
      <xdr:row>4</xdr:row>
      <xdr:rowOff>535385</xdr:rowOff>
    </xdr:to>
    <xdr:pic>
      <xdr:nvPicPr>
        <xdr:cNvPr id="4" name="Picture 84"/>
        <xdr:cNvPicPr>
          <a:picLocks noChangeAspect="1" noChangeArrowheads="1"/>
        </xdr:cNvPicPr>
      </xdr:nvPicPr>
      <xdr:blipFill>
        <a:blip xmlns:r="http://schemas.openxmlformats.org/officeDocument/2006/relationships" r:embed="rId2" cstate="print"/>
        <a:srcRect/>
        <a:stretch>
          <a:fillRect/>
        </a:stretch>
      </xdr:blipFill>
      <xdr:spPr bwMode="auto">
        <a:xfrm>
          <a:off x="4857749" y="800100"/>
          <a:ext cx="1666875" cy="440135"/>
        </a:xfrm>
        <a:prstGeom prst="rect">
          <a:avLst/>
        </a:prstGeom>
        <a:noFill/>
        <a:ln w="1">
          <a:noFill/>
          <a:miter lim="800000"/>
          <a:headEnd/>
          <a:tailEnd type="none" w="med" len="med"/>
        </a:ln>
        <a:effectLst/>
      </xdr:spPr>
    </xdr:pic>
    <xdr:clientData/>
  </xdr:twoCellAnchor>
  <xdr:twoCellAnchor>
    <xdr:from>
      <xdr:col>0</xdr:col>
      <xdr:colOff>95250</xdr:colOff>
      <xdr:row>148</xdr:row>
      <xdr:rowOff>76200</xdr:rowOff>
    </xdr:from>
    <xdr:to>
      <xdr:col>20</xdr:col>
      <xdr:colOff>687917</xdr:colOff>
      <xdr:row>181</xdr:row>
      <xdr:rowOff>38100</xdr:rowOff>
    </xdr:to>
    <xdr:graphicFrame macro="">
      <xdr:nvGraphicFramePr>
        <xdr:cNvPr id="8"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22</xdr:col>
          <xdr:colOff>180975</xdr:colOff>
          <xdr:row>111</xdr:row>
          <xdr:rowOff>142875</xdr:rowOff>
        </xdr:from>
        <xdr:to>
          <xdr:col>36</xdr:col>
          <xdr:colOff>9525</xdr:colOff>
          <xdr:row>125</xdr:row>
          <xdr:rowOff>142875</xdr:rowOff>
        </xdr:to>
        <xdr:sp macro="" textlink="">
          <xdr:nvSpPr>
            <xdr:cNvPr id="683009" name="Object 1" hidden="1">
              <a:extLst>
                <a:ext uri="{63B3BB69-23CF-44E3-9099-C40C66FF867C}">
                  <a14:compatExt spid="_x0000_s683009"/>
                </a:ext>
              </a:extLst>
            </xdr:cNvPr>
            <xdr:cNvSpPr/>
          </xdr:nvSpPr>
          <xdr:spPr>
            <a:xfrm>
              <a:off x="0" y="0"/>
              <a:ext cx="0" cy="0"/>
            </a:xfrm>
            <a:prstGeom prst="rect">
              <a:avLst/>
            </a:prstGeom>
          </xdr:spPr>
        </xdr:sp>
        <xdr:clientData/>
      </xdr:twoCellAnchor>
    </mc:Choice>
    <mc:Fallback/>
  </mc:AlternateContent>
  <xdr:twoCellAnchor>
    <xdr:from>
      <xdr:col>0</xdr:col>
      <xdr:colOff>392906</xdr:colOff>
      <xdr:row>218</xdr:row>
      <xdr:rowOff>130969</xdr:rowOff>
    </xdr:from>
    <xdr:to>
      <xdr:col>19</xdr:col>
      <xdr:colOff>626267</xdr:colOff>
      <xdr:row>250</xdr:row>
      <xdr:rowOff>124619</xdr:rowOff>
    </xdr:to>
    <xdr:graphicFrame macro="">
      <xdr:nvGraphicFramePr>
        <xdr:cNvPr id="13"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35718</xdr:colOff>
      <xdr:row>255</xdr:row>
      <xdr:rowOff>47626</xdr:rowOff>
    </xdr:from>
    <xdr:to>
      <xdr:col>13</xdr:col>
      <xdr:colOff>16668</xdr:colOff>
      <xdr:row>287</xdr:row>
      <xdr:rowOff>104776</xdr:rowOff>
    </xdr:to>
    <xdr:graphicFrame macro="">
      <xdr:nvGraphicFramePr>
        <xdr:cNvPr id="16"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28575</xdr:colOff>
      <xdr:row>289</xdr:row>
      <xdr:rowOff>66675</xdr:rowOff>
    </xdr:from>
    <xdr:to>
      <xdr:col>13</xdr:col>
      <xdr:colOff>9525</xdr:colOff>
      <xdr:row>321</xdr:row>
      <xdr:rowOff>123825</xdr:rowOff>
    </xdr:to>
    <xdr:graphicFrame macro="">
      <xdr:nvGraphicFramePr>
        <xdr:cNvPr id="15" name="Chart 25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95251</xdr:colOff>
      <xdr:row>182</xdr:row>
      <xdr:rowOff>100853</xdr:rowOff>
    </xdr:from>
    <xdr:to>
      <xdr:col>20</xdr:col>
      <xdr:colOff>708023</xdr:colOff>
      <xdr:row>215</xdr:row>
      <xdr:rowOff>62753</xdr:rowOff>
    </xdr:to>
    <xdr:graphicFrame macro="">
      <xdr:nvGraphicFramePr>
        <xdr:cNvPr id="17" name="Chart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0.16877</cdr:x>
      <cdr:y>0.12917</cdr:y>
    </cdr:from>
    <cdr:to>
      <cdr:x>0.23482</cdr:x>
      <cdr:y>0.16636</cdr:y>
    </cdr:to>
    <cdr:sp macro="" textlink="'Variable Mgmt'!$B$249">
      <cdr:nvSpPr>
        <cdr:cNvPr id="2" name="Text Box 24"/>
        <cdr:cNvSpPr txBox="1">
          <a:spLocks xmlns:a="http://schemas.openxmlformats.org/drawingml/2006/main" noChangeArrowheads="1" noTextEdit="1"/>
        </cdr:cNvSpPr>
      </cdr:nvSpPr>
      <cdr:spPr bwMode="auto">
        <a:xfrm xmlns:a="http://schemas.openxmlformats.org/drawingml/2006/main">
          <a:off x="1403360" y="665601"/>
          <a:ext cx="549265" cy="1916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0" bIns="22860" anchor="b"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FB7B9190-533F-41A0-B9F6-41424F4E3D27}" type="TxLink">
            <a:rPr lang="en-US" sz="1100" b="0" i="0" u="none" strike="noStrike" baseline="0">
              <a:solidFill>
                <a:srgbClr val="000000"/>
              </a:solidFill>
              <a:latin typeface="Arial"/>
              <a:cs typeface="Arial"/>
            </a:rPr>
            <a:pPr algn="l" rtl="0">
              <a:defRPr sz="1000"/>
            </a:pPr>
            <a:t>84.6%</a:t>
          </a:fld>
          <a:endParaRPr lang="en-US" sz="1100" b="1" i="0" u="none" strike="noStrike" baseline="0">
            <a:solidFill>
              <a:srgbClr val="000000"/>
            </a:solidFill>
            <a:latin typeface="Arial" pitchFamily="34" charset="0"/>
            <a:cs typeface="Arial"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w="9525">
          <a:noFill/>
          <a:miter lim="800000"/>
          <a:headEnd/>
          <a:tailEnd/>
        </a:ln>
      </a:spPr>
      <a:bodyPr vertOverflow="clip" wrap="square" lIns="27432" tIns="27432" rIns="0" bIns="0" anchor="t" upright="1"/>
      <a:lstStyle>
        <a:defPPr algn="l" rtl="0">
          <a:defRPr sz="1100" b="0" i="0" strike="noStrike">
            <a:solidFill>
              <a:srgbClr val="000000"/>
            </a:solidFill>
            <a:latin typeface="Calibri"/>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printerSettings" Target="../printerSettings/printerSettings1.bin"/><Relationship Id="rId1" Type="http://schemas.openxmlformats.org/officeDocument/2006/relationships/hyperlink" Target="http://www.ti.com/widevin"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2.vml"/><Relationship Id="rId10" Type="http://schemas.openxmlformats.org/officeDocument/2006/relationships/ctrlProp" Target="../ctrlProps/ctrlProp5.x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image" Target="../media/image15.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I53"/>
  <sheetViews>
    <sheetView tabSelected="1" zoomScaleNormal="100" zoomScaleSheetLayoutView="70" workbookViewId="0">
      <selection activeCell="E17" sqref="E17"/>
    </sheetView>
  </sheetViews>
  <sheetFormatPr defaultColWidth="9.140625" defaultRowHeight="12.75" x14ac:dyDescent="0.2"/>
  <cols>
    <col min="1" max="1" width="8.28515625" style="108" customWidth="1"/>
    <col min="2" max="2" width="8.28515625" style="47" customWidth="1"/>
    <col min="3" max="3" width="13.5703125" style="47" customWidth="1"/>
    <col min="4" max="4" width="11.140625" style="47" customWidth="1"/>
    <col min="5" max="5" width="9.140625" style="47" customWidth="1"/>
    <col min="6" max="6" width="8.7109375" style="47" customWidth="1"/>
    <col min="7" max="7" width="2.7109375" style="47" customWidth="1"/>
    <col min="8" max="9" width="8.28515625" style="47" customWidth="1"/>
    <col min="10" max="10" width="13.7109375" style="47" customWidth="1"/>
    <col min="11" max="11" width="10" style="47" customWidth="1"/>
    <col min="12" max="12" width="9.42578125" style="47" customWidth="1"/>
    <col min="13" max="13" width="8.7109375" style="47" customWidth="1"/>
    <col min="14" max="15" width="9.140625" style="47"/>
    <col min="16" max="18" width="10.140625" style="47" customWidth="1"/>
    <col min="19" max="19" width="10" style="47" bestFit="1" customWidth="1"/>
    <col min="20" max="25" width="9.140625" style="47"/>
    <col min="26" max="26" width="29" style="47" customWidth="1"/>
    <col min="27" max="27" width="3.140625" style="47" customWidth="1"/>
    <col min="28" max="16384" width="9.140625" style="47"/>
  </cols>
  <sheetData>
    <row r="1" spans="1:27" ht="47.25" customHeight="1" x14ac:dyDescent="0.2">
      <c r="A1" s="530" t="s">
        <v>694</v>
      </c>
      <c r="B1" s="528"/>
      <c r="C1" s="528"/>
      <c r="D1" s="528"/>
      <c r="E1" s="528"/>
      <c r="F1" s="528"/>
      <c r="G1" s="528"/>
      <c r="H1" s="528"/>
      <c r="I1" s="528"/>
      <c r="J1" s="528"/>
      <c r="K1" s="528"/>
      <c r="L1" s="528"/>
      <c r="M1" s="528"/>
      <c r="N1" s="528"/>
      <c r="O1" s="528"/>
      <c r="P1" s="528"/>
      <c r="Q1" s="528"/>
      <c r="R1" s="529"/>
      <c r="S1" s="529"/>
      <c r="T1" s="529"/>
      <c r="U1" s="529"/>
      <c r="V1" s="422"/>
      <c r="W1" s="422"/>
      <c r="X1" s="422"/>
      <c r="Y1" s="422"/>
      <c r="Z1" s="422"/>
      <c r="AA1" s="422"/>
    </row>
    <row r="2" spans="1:27" ht="14.1" customHeight="1" x14ac:dyDescent="0.45">
      <c r="A2" s="403"/>
      <c r="B2" s="404"/>
      <c r="C2" s="404"/>
      <c r="D2" s="404"/>
      <c r="E2" s="404"/>
      <c r="F2" s="404"/>
      <c r="G2" s="404"/>
      <c r="H2" s="404"/>
      <c r="I2" s="404"/>
      <c r="J2" s="404"/>
      <c r="K2" s="404"/>
      <c r="L2" s="404"/>
      <c r="M2" s="404"/>
      <c r="N2" s="404"/>
      <c r="O2" s="417"/>
      <c r="P2" s="404"/>
      <c r="Q2" s="404"/>
      <c r="R2" s="412"/>
      <c r="S2" s="509"/>
      <c r="T2" s="509"/>
      <c r="U2" s="509"/>
      <c r="V2" s="509"/>
      <c r="W2" s="509"/>
      <c r="X2" s="509"/>
      <c r="Y2" s="509"/>
      <c r="Z2" s="509"/>
      <c r="AA2" s="509"/>
    </row>
    <row r="3" spans="1:27" ht="15.95" customHeight="1" x14ac:dyDescent="0.45">
      <c r="A3" s="405" t="s">
        <v>105</v>
      </c>
      <c r="B3" s="406"/>
      <c r="C3" s="418" t="s">
        <v>106</v>
      </c>
      <c r="D3" s="407"/>
      <c r="E3" s="84"/>
      <c r="F3" s="409" t="s">
        <v>59</v>
      </c>
      <c r="G3" s="408"/>
      <c r="H3" s="404"/>
      <c r="I3" s="404"/>
      <c r="J3" s="408"/>
      <c r="K3" s="410"/>
      <c r="L3" s="411"/>
      <c r="M3" s="412"/>
      <c r="N3" s="412"/>
      <c r="O3" s="509"/>
      <c r="P3" s="2"/>
      <c r="Q3" s="412" t="s">
        <v>77</v>
      </c>
      <c r="R3" s="412"/>
      <c r="S3" s="509"/>
      <c r="T3" s="509"/>
      <c r="U3" s="531" t="s">
        <v>319</v>
      </c>
      <c r="V3" s="509"/>
      <c r="W3" s="509"/>
      <c r="X3" s="509"/>
      <c r="Y3" s="509"/>
      <c r="Z3" s="509"/>
      <c r="AA3" s="509"/>
    </row>
    <row r="4" spans="1:27" ht="14.1" customHeight="1" thickBot="1" x14ac:dyDescent="0.35">
      <c r="A4" s="413"/>
      <c r="B4" s="414"/>
      <c r="C4" s="415"/>
      <c r="D4" s="415"/>
      <c r="E4" s="415"/>
      <c r="F4" s="415"/>
      <c r="G4" s="415"/>
      <c r="H4" s="415"/>
      <c r="I4" s="415"/>
      <c r="J4" s="415"/>
      <c r="K4" s="415"/>
      <c r="L4" s="415"/>
      <c r="M4" s="416"/>
      <c r="N4" s="416"/>
      <c r="O4" s="416"/>
      <c r="P4" s="416"/>
      <c r="Q4" s="416"/>
      <c r="R4" s="412"/>
      <c r="S4" s="509"/>
      <c r="T4" s="509"/>
      <c r="U4" s="509"/>
      <c r="V4" s="509"/>
      <c r="W4" s="509"/>
      <c r="X4" s="509"/>
      <c r="Y4" s="509"/>
      <c r="Z4" s="509"/>
      <c r="AA4" s="509"/>
    </row>
    <row r="5" spans="1:27" ht="19.5" customHeight="1" thickBot="1" x14ac:dyDescent="0.35">
      <c r="A5" s="107" t="s">
        <v>101</v>
      </c>
      <c r="B5" s="82"/>
      <c r="C5" s="48"/>
      <c r="D5" s="48"/>
      <c r="E5" s="49"/>
      <c r="F5" s="48"/>
      <c r="G5" s="73"/>
      <c r="H5" s="600" t="s">
        <v>366</v>
      </c>
      <c r="I5" s="93"/>
      <c r="J5" s="94"/>
      <c r="K5" s="94"/>
      <c r="L5" s="95"/>
      <c r="M5" s="361"/>
      <c r="N5" s="50"/>
      <c r="O5" s="50"/>
      <c r="P5" s="50"/>
      <c r="Q5" s="50"/>
      <c r="R5" s="510"/>
      <c r="S5" s="510"/>
      <c r="T5" s="510"/>
      <c r="U5" s="510"/>
      <c r="V5" s="510"/>
      <c r="W5" s="510"/>
      <c r="X5" s="510"/>
      <c r="Y5" s="510"/>
      <c r="Z5" s="514"/>
      <c r="AA5" s="509"/>
    </row>
    <row r="6" spans="1:27" ht="15.75" customHeight="1" x14ac:dyDescent="0.2">
      <c r="A6" s="142"/>
      <c r="B6" s="143"/>
      <c r="C6" s="144"/>
      <c r="D6" s="145" t="s">
        <v>374</v>
      </c>
      <c r="E6" s="146">
        <v>9</v>
      </c>
      <c r="F6" s="432" t="s">
        <v>0</v>
      </c>
      <c r="G6" s="91"/>
      <c r="H6" s="463"/>
      <c r="I6" s="518"/>
      <c r="J6" s="211"/>
      <c r="K6" s="519" t="s">
        <v>681</v>
      </c>
      <c r="L6" s="654">
        <f>Lmin</f>
        <v>6.349085365853659</v>
      </c>
      <c r="M6" s="647" t="s">
        <v>96</v>
      </c>
      <c r="N6" s="50"/>
      <c r="O6" s="50"/>
      <c r="P6" s="50"/>
      <c r="Q6" s="50"/>
      <c r="R6" s="83"/>
      <c r="S6" s="83"/>
      <c r="T6" s="76"/>
      <c r="U6" s="76"/>
      <c r="V6" s="76"/>
      <c r="W6" s="76"/>
      <c r="X6" s="76"/>
      <c r="Y6" s="76"/>
      <c r="Z6" s="515"/>
      <c r="AA6" s="509"/>
    </row>
    <row r="7" spans="1:27" ht="14.25" customHeight="1" x14ac:dyDescent="0.25">
      <c r="A7" s="136"/>
      <c r="B7" s="135"/>
      <c r="C7" s="137"/>
      <c r="D7" s="147" t="s">
        <v>375</v>
      </c>
      <c r="E7" s="148">
        <v>13.5</v>
      </c>
      <c r="F7" s="433" t="s">
        <v>0</v>
      </c>
      <c r="G7" s="91"/>
      <c r="H7" s="89"/>
      <c r="I7" s="90"/>
      <c r="J7" s="88"/>
      <c r="K7" s="101" t="s">
        <v>372</v>
      </c>
      <c r="L7" s="148">
        <v>7</v>
      </c>
      <c r="M7" s="433" t="s">
        <v>96</v>
      </c>
      <c r="N7" s="50"/>
      <c r="O7" s="50"/>
      <c r="P7" s="50"/>
      <c r="Q7" s="50"/>
      <c r="R7" s="83"/>
      <c r="S7" s="83"/>
      <c r="T7" s="76"/>
      <c r="U7" s="76"/>
      <c r="V7" s="76"/>
      <c r="W7" s="76"/>
      <c r="X7" s="76"/>
      <c r="Y7" s="76"/>
      <c r="Z7" s="515"/>
      <c r="AA7" s="509"/>
    </row>
    <row r="8" spans="1:27" ht="15.75" customHeight="1" x14ac:dyDescent="0.2">
      <c r="A8" s="136"/>
      <c r="B8" s="135"/>
      <c r="C8" s="137"/>
      <c r="D8" s="147" t="s">
        <v>376</v>
      </c>
      <c r="E8" s="148">
        <v>42</v>
      </c>
      <c r="F8" s="433" t="s">
        <v>0</v>
      </c>
      <c r="G8" s="91"/>
      <c r="H8" s="89"/>
      <c r="I8" s="90"/>
      <c r="J8" s="88"/>
      <c r="K8" s="101" t="s">
        <v>540</v>
      </c>
      <c r="L8" s="148">
        <v>40</v>
      </c>
      <c r="M8" s="433" t="s">
        <v>20</v>
      </c>
      <c r="N8" s="50"/>
      <c r="O8" s="50"/>
      <c r="P8" s="50"/>
      <c r="Q8" s="50"/>
      <c r="R8" s="83"/>
      <c r="S8" s="83"/>
      <c r="T8" s="76"/>
      <c r="U8" s="76"/>
      <c r="V8" s="76"/>
      <c r="W8" s="76"/>
      <c r="X8" s="76"/>
      <c r="Y8" s="76"/>
      <c r="Z8" s="515"/>
      <c r="AA8" s="509"/>
    </row>
    <row r="9" spans="1:27" ht="15.75" customHeight="1" x14ac:dyDescent="0.2">
      <c r="A9" s="136"/>
      <c r="B9" s="135"/>
      <c r="C9" s="137"/>
      <c r="D9" s="147" t="s">
        <v>373</v>
      </c>
      <c r="E9" s="598">
        <v>32</v>
      </c>
      <c r="F9" s="149"/>
      <c r="G9" s="91"/>
      <c r="H9" s="89"/>
      <c r="I9" s="90"/>
      <c r="J9" s="88"/>
      <c r="K9" s="101" t="str">
        <f>CHOOSE(MODE, "Secondary Winding DCR", "Secondary Winding #1 DCR")</f>
        <v>Secondary Winding DCR</v>
      </c>
      <c r="L9" s="148">
        <v>40</v>
      </c>
      <c r="M9" s="433" t="s">
        <v>20</v>
      </c>
      <c r="N9" s="50"/>
      <c r="O9" s="50"/>
      <c r="P9" s="50"/>
      <c r="Q9" s="50"/>
      <c r="R9" s="83"/>
      <c r="S9" s="83"/>
      <c r="T9" s="76"/>
      <c r="U9" s="76"/>
      <c r="V9" s="76"/>
      <c r="W9" s="76"/>
      <c r="X9" s="76"/>
      <c r="Y9" s="76"/>
      <c r="Z9" s="515"/>
      <c r="AA9" s="509"/>
    </row>
    <row r="10" spans="1:27" ht="15.75" customHeight="1" x14ac:dyDescent="0.2">
      <c r="A10" s="136"/>
      <c r="B10" s="135"/>
      <c r="C10" s="137"/>
      <c r="D10" s="147" t="str">
        <f>CHOOSE(MODE, "Output Voltage, VOUT ", "Output Voltage, VOUT1")</f>
        <v xml:space="preserve">Output Voltage, VOUT </v>
      </c>
      <c r="E10" s="148">
        <v>12</v>
      </c>
      <c r="F10" s="433" t="s">
        <v>0</v>
      </c>
      <c r="G10" s="91"/>
      <c r="H10" s="89"/>
      <c r="I10" s="90"/>
      <c r="J10" s="88"/>
      <c r="K10" s="101" t="str">
        <f>CHOOSE(MODE, "", "Secondary Winding #2 DCR")</f>
        <v/>
      </c>
      <c r="L10" s="148">
        <v>30</v>
      </c>
      <c r="M10" s="433" t="str">
        <f>CHOOSE(MODE, "", "mΩ")</f>
        <v/>
      </c>
      <c r="N10" s="50"/>
      <c r="O10" s="50"/>
      <c r="P10" s="50"/>
      <c r="Q10" s="50"/>
      <c r="R10" s="83"/>
      <c r="S10" s="83"/>
      <c r="T10" s="76"/>
      <c r="U10" s="76"/>
      <c r="V10" s="76"/>
      <c r="W10" s="76"/>
      <c r="X10" s="76"/>
      <c r="Y10" s="76"/>
      <c r="Z10" s="515"/>
      <c r="AA10" s="509"/>
    </row>
    <row r="11" spans="1:27" ht="15.75" customHeight="1" thickBot="1" x14ac:dyDescent="0.25">
      <c r="A11" s="139"/>
      <c r="B11" s="156"/>
      <c r="C11" s="516"/>
      <c r="D11" s="522" t="str">
        <f>CHOOSE(MODE, "Rated Output Current, IOUT ", "Rated Output Current, IOUT1")</f>
        <v xml:space="preserve">Rated Output Current, IOUT </v>
      </c>
      <c r="E11" s="523">
        <v>0.8</v>
      </c>
      <c r="F11" s="524" t="s">
        <v>1</v>
      </c>
      <c r="G11" s="91"/>
      <c r="H11" s="89"/>
      <c r="I11" s="76"/>
      <c r="J11" s="76"/>
      <c r="K11" s="101" t="s">
        <v>685</v>
      </c>
      <c r="L11" s="148">
        <v>75</v>
      </c>
      <c r="M11" s="433" t="s">
        <v>684</v>
      </c>
      <c r="N11" s="50"/>
      <c r="O11" s="50"/>
      <c r="P11" s="50"/>
      <c r="Q11" s="50"/>
      <c r="R11" s="83"/>
      <c r="S11" s="83"/>
      <c r="T11" s="76"/>
      <c r="U11" s="76"/>
      <c r="V11" s="76"/>
      <c r="W11" s="76"/>
      <c r="X11" s="76"/>
      <c r="Y11" s="76"/>
      <c r="Z11" s="515"/>
      <c r="AA11" s="509"/>
    </row>
    <row r="12" spans="1:27" ht="15.75" customHeight="1" x14ac:dyDescent="0.2">
      <c r="A12" s="76"/>
      <c r="B12" s="76"/>
      <c r="C12" s="76"/>
      <c r="D12" s="147" t="str">
        <f>CHOOSE(MODE, "", "Output Voltage, VOUT2")</f>
        <v/>
      </c>
      <c r="E12" s="148">
        <v>12</v>
      </c>
      <c r="F12" s="433" t="str">
        <f>CHOOSE(MODE, "", "V", "V")</f>
        <v/>
      </c>
      <c r="G12" s="91"/>
      <c r="H12" s="89"/>
      <c r="I12" s="90"/>
      <c r="J12" s="88"/>
      <c r="K12" s="87" t="str">
        <f>IF(MODE=1, "Transformer Turns Ratio, Pri : Sec", "Turns Ratio, PRI : SEC1")</f>
        <v>Transformer Turns Ratio, Pri : Sec</v>
      </c>
      <c r="L12" s="441"/>
      <c r="M12" s="462"/>
      <c r="N12" s="50"/>
      <c r="O12" s="50"/>
      <c r="P12" s="50"/>
      <c r="Q12" s="50"/>
      <c r="R12" s="83"/>
      <c r="S12" s="83"/>
      <c r="T12" s="76"/>
      <c r="U12" s="76"/>
      <c r="V12" s="76"/>
      <c r="W12" s="76"/>
      <c r="X12" s="76"/>
      <c r="Y12" s="76"/>
      <c r="Z12" s="515"/>
      <c r="AA12" s="509"/>
    </row>
    <row r="13" spans="1:27" ht="15.75" customHeight="1" thickBot="1" x14ac:dyDescent="0.25">
      <c r="A13" s="139"/>
      <c r="B13" s="156"/>
      <c r="C13" s="516"/>
      <c r="D13" s="522" t="str">
        <f>CHOOSE(MODE, "", "Rated Output Current, IOUT2")</f>
        <v/>
      </c>
      <c r="E13" s="523">
        <v>0.5</v>
      </c>
      <c r="F13" s="524" t="str">
        <f>CHOOSE(MODE, "", "A", "A")</f>
        <v/>
      </c>
      <c r="G13" s="91"/>
      <c r="H13" s="136"/>
      <c r="I13" s="135"/>
      <c r="J13" s="137"/>
      <c r="K13" s="88" t="str">
        <f>CHOOSE(MODE, "Diode Max Rev Voltage (Spike Not Included)", "Turns Ratio, SEC1 : SEC2")</f>
        <v>Diode Max Rev Voltage (Spike Not Included)</v>
      </c>
      <c r="L13" s="645">
        <f>CHOOSE(MODE, ROUND(VRRM_DIODE,0), ROUND(Nsec1sec2,2))</f>
        <v>54</v>
      </c>
      <c r="M13" s="462" t="str">
        <f>CHOOSE(MODE, "V", "")</f>
        <v>V</v>
      </c>
      <c r="N13" s="50"/>
      <c r="O13" s="50"/>
      <c r="P13" s="50"/>
      <c r="Q13" s="50"/>
      <c r="R13" s="83"/>
      <c r="S13" s="83"/>
      <c r="T13" s="76"/>
      <c r="U13" s="76"/>
      <c r="V13" s="76"/>
      <c r="W13" s="76"/>
      <c r="X13" s="76"/>
      <c r="Y13" s="76"/>
      <c r="Z13" s="515"/>
      <c r="AA13" s="509"/>
    </row>
    <row r="14" spans="1:27" ht="15.75" customHeight="1" x14ac:dyDescent="0.2">
      <c r="A14" s="430"/>
      <c r="B14" s="76"/>
      <c r="C14" s="76"/>
      <c r="D14" s="76"/>
      <c r="E14" s="76"/>
      <c r="F14" s="525"/>
      <c r="G14" s="92"/>
      <c r="H14" s="136"/>
      <c r="I14" s="135"/>
      <c r="J14" s="617"/>
      <c r="K14" s="137" t="s">
        <v>679</v>
      </c>
      <c r="L14" s="649">
        <f>Don_Vinmin*100</f>
        <v>57.943925233644869</v>
      </c>
      <c r="M14" s="650" t="s">
        <v>680</v>
      </c>
      <c r="N14" s="50"/>
      <c r="O14" s="50"/>
      <c r="P14" s="50"/>
      <c r="Q14" s="50"/>
      <c r="R14" s="83"/>
      <c r="S14" s="83"/>
      <c r="T14" s="76"/>
      <c r="U14" s="76"/>
      <c r="V14" s="76"/>
      <c r="W14" s="76"/>
      <c r="X14" s="76"/>
      <c r="Y14" s="76"/>
      <c r="Z14" s="515"/>
      <c r="AA14" s="509"/>
    </row>
    <row r="15" spans="1:27" ht="19.5" customHeight="1" thickBot="1" x14ac:dyDescent="0.35">
      <c r="A15" s="107" t="s">
        <v>299</v>
      </c>
      <c r="B15" s="93"/>
      <c r="C15" s="94"/>
      <c r="D15" s="94"/>
      <c r="E15" s="95"/>
      <c r="F15" s="94"/>
      <c r="G15" s="91"/>
      <c r="H15" s="618"/>
      <c r="I15" s="513"/>
      <c r="J15" s="513"/>
      <c r="K15" s="516" t="str">
        <f>CHOOSE(MODE, "Max Output Current at VIN(min)", "Max Output Power at VIN(min)")</f>
        <v>Max Output Current at VIN(min)</v>
      </c>
      <c r="L15" s="652">
        <f>CHOOSE(MODE, 'Variable Mgmt'!B39, 'Variable Mgmt'!B38)</f>
        <v>0.84200735294117612</v>
      </c>
      <c r="M15" s="651" t="str">
        <f>CHOOSE(MODE, "A", "W")</f>
        <v>A</v>
      </c>
      <c r="N15" s="50"/>
      <c r="O15" s="50"/>
      <c r="P15" s="50"/>
      <c r="Q15" s="50"/>
      <c r="R15" s="83"/>
      <c r="S15" s="83"/>
      <c r="T15" s="76"/>
      <c r="U15" s="76"/>
      <c r="V15" s="76"/>
      <c r="W15" s="76"/>
      <c r="X15" s="76"/>
      <c r="Y15" s="76"/>
      <c r="Z15" s="515"/>
      <c r="AA15" s="509"/>
    </row>
    <row r="16" spans="1:27" ht="15.75" customHeight="1" x14ac:dyDescent="0.2">
      <c r="A16" s="390"/>
      <c r="B16" s="591"/>
      <c r="C16" s="592"/>
      <c r="D16" s="211" t="s">
        <v>318</v>
      </c>
      <c r="E16" s="706">
        <f>'Variable Mgmt'!B111</f>
        <v>4.7</v>
      </c>
      <c r="F16" s="434" t="s">
        <v>97</v>
      </c>
      <c r="G16" s="91"/>
      <c r="H16" s="592"/>
      <c r="I16" s="50"/>
      <c r="J16" s="50"/>
      <c r="K16" s="657" t="s">
        <v>712</v>
      </c>
      <c r="L16" s="658">
        <f>'Calculations - Single'!BS105*1000</f>
        <v>62.815611385281201</v>
      </c>
      <c r="M16" s="592" t="s">
        <v>294</v>
      </c>
      <c r="N16" s="50"/>
      <c r="O16" s="50"/>
      <c r="P16" s="50"/>
      <c r="Q16" s="50"/>
      <c r="R16" s="83"/>
      <c r="S16" s="83"/>
      <c r="T16" s="76"/>
      <c r="U16" s="76"/>
      <c r="V16" s="76"/>
      <c r="W16" s="76"/>
      <c r="X16" s="76"/>
      <c r="Y16" s="76"/>
      <c r="Z16" s="515"/>
      <c r="AA16" s="509"/>
    </row>
    <row r="17" spans="1:27" ht="15.75" customHeight="1" x14ac:dyDescent="0.25">
      <c r="A17" s="98"/>
      <c r="B17" s="90"/>
      <c r="C17" s="97"/>
      <c r="D17" s="101" t="s">
        <v>141</v>
      </c>
      <c r="E17" s="99">
        <v>10</v>
      </c>
      <c r="F17" s="435" t="s">
        <v>97</v>
      </c>
      <c r="G17" s="91"/>
      <c r="H17" s="90"/>
      <c r="I17" s="50"/>
      <c r="J17" s="50"/>
      <c r="K17" s="657" t="s">
        <v>713</v>
      </c>
      <c r="L17" s="658">
        <f>'Calculations - Single'!BT105*1000</f>
        <v>69.225367649085399</v>
      </c>
      <c r="M17" s="90" t="s">
        <v>294</v>
      </c>
      <c r="N17" s="50"/>
      <c r="O17" s="50"/>
      <c r="P17" s="50"/>
      <c r="Q17" s="50"/>
      <c r="R17" s="83"/>
      <c r="S17" s="83"/>
      <c r="T17" s="76"/>
      <c r="U17" s="76"/>
      <c r="V17" s="76"/>
      <c r="W17" s="76"/>
      <c r="X17" s="76"/>
      <c r="Y17" s="76"/>
      <c r="Z17" s="515"/>
      <c r="AA17" s="509"/>
    </row>
    <row r="18" spans="1:27" ht="15.75" customHeight="1" x14ac:dyDescent="0.2">
      <c r="A18" s="98"/>
      <c r="B18" s="90"/>
      <c r="C18" s="153"/>
      <c r="D18" s="147" t="s">
        <v>104</v>
      </c>
      <c r="E18" s="152">
        <v>3</v>
      </c>
      <c r="F18" s="436" t="s">
        <v>20</v>
      </c>
      <c r="G18" s="91"/>
      <c r="H18" s="90"/>
      <c r="I18" s="50"/>
      <c r="J18" s="50"/>
      <c r="K18" s="657" t="s">
        <v>714</v>
      </c>
      <c r="L18" s="664">
        <f>'Calculations - Single'!U105</f>
        <v>3.1469149063134032</v>
      </c>
      <c r="M18" s="90" t="s">
        <v>1</v>
      </c>
      <c r="N18" s="50"/>
      <c r="O18" s="50"/>
      <c r="P18" s="50"/>
      <c r="Q18" s="50"/>
      <c r="R18" s="83"/>
      <c r="S18" s="83"/>
      <c r="T18" s="76"/>
      <c r="U18" s="76"/>
      <c r="V18" s="76"/>
      <c r="W18" s="76"/>
      <c r="X18" s="76"/>
      <c r="Y18" s="76"/>
      <c r="Z18" s="515"/>
      <c r="AA18" s="509"/>
    </row>
    <row r="19" spans="1:27" ht="15.75" customHeight="1" thickBot="1" x14ac:dyDescent="0.35">
      <c r="A19" s="102"/>
      <c r="B19" s="103"/>
      <c r="C19" s="109"/>
      <c r="D19" s="213" t="s">
        <v>509</v>
      </c>
      <c r="E19" s="214">
        <f>Vinripple2</f>
        <v>136.85049557497601</v>
      </c>
      <c r="F19" s="106" t="s">
        <v>103</v>
      </c>
      <c r="G19" s="91"/>
      <c r="H19" s="105"/>
      <c r="I19" s="513"/>
      <c r="J19" s="513"/>
      <c r="K19" s="701" t="s">
        <v>715</v>
      </c>
      <c r="L19" s="702">
        <f>Nps*L18</f>
        <v>3.1469149063134032</v>
      </c>
      <c r="M19" s="105" t="s">
        <v>1</v>
      </c>
      <c r="N19" s="50"/>
      <c r="O19" s="50"/>
      <c r="P19" s="50"/>
      <c r="Q19" s="50"/>
      <c r="R19" s="83"/>
      <c r="S19" s="83"/>
      <c r="T19" s="76"/>
      <c r="U19" s="76"/>
      <c r="V19" s="76"/>
      <c r="W19" s="76"/>
      <c r="X19" s="76"/>
      <c r="Y19" s="76"/>
      <c r="Z19" s="515"/>
      <c r="AA19" s="509"/>
    </row>
    <row r="20" spans="1:27" ht="15.75" customHeight="1" thickBot="1" x14ac:dyDescent="0.25">
      <c r="A20" s="427"/>
      <c r="B20" s="428"/>
      <c r="C20" s="429"/>
      <c r="D20" s="429" t="str">
        <f>CHOOSE(MODE, "Minimum Output Capacitance", "Minimum Output Capacitance, Output #1")</f>
        <v>Minimum Output Capacitance</v>
      </c>
      <c r="E20" s="666">
        <f>'Variable Mgmt'!B86</f>
        <v>25.385458958093036</v>
      </c>
      <c r="F20" s="434" t="s">
        <v>97</v>
      </c>
      <c r="G20" s="602"/>
      <c r="H20" s="427"/>
      <c r="I20" s="601"/>
      <c r="J20" s="510"/>
      <c r="K20" s="519" t="str">
        <f>CHOOSE(MODE, "", "Minimum Output Capacitance, Output #2")</f>
        <v/>
      </c>
      <c r="L20" s="665">
        <f>'Variable Mgmt'!B96</f>
        <v>10</v>
      </c>
      <c r="M20" s="703" t="s">
        <v>97</v>
      </c>
      <c r="N20" s="50"/>
      <c r="O20" s="50"/>
      <c r="P20" s="50"/>
      <c r="Q20" s="50"/>
      <c r="R20" s="83"/>
      <c r="S20" s="83"/>
      <c r="T20" s="76"/>
      <c r="U20" s="76"/>
      <c r="V20" s="76"/>
      <c r="W20" s="76"/>
      <c r="X20" s="76"/>
      <c r="Y20" s="76"/>
      <c r="Z20" s="515"/>
      <c r="AA20" s="509"/>
    </row>
    <row r="21" spans="1:27" ht="15.75" customHeight="1" x14ac:dyDescent="0.2">
      <c r="A21" s="89"/>
      <c r="B21" s="90"/>
      <c r="C21" s="137"/>
      <c r="D21" s="154" t="s">
        <v>140</v>
      </c>
      <c r="E21" s="148">
        <v>47</v>
      </c>
      <c r="F21" s="433" t="s">
        <v>97</v>
      </c>
      <c r="G21" s="603"/>
      <c r="H21" s="90"/>
      <c r="I21" s="50"/>
      <c r="J21" s="76"/>
      <c r="K21" s="154" t="s">
        <v>548</v>
      </c>
      <c r="L21" s="148">
        <v>47</v>
      </c>
      <c r="M21" s="433" t="s">
        <v>97</v>
      </c>
      <c r="N21" s="50"/>
      <c r="O21" s="50"/>
      <c r="P21" s="50"/>
      <c r="Q21" s="50"/>
      <c r="R21" s="83"/>
      <c r="S21" s="83"/>
      <c r="T21" s="76"/>
      <c r="U21" s="76"/>
      <c r="V21" s="76"/>
      <c r="W21" s="76"/>
      <c r="X21" s="76"/>
      <c r="Y21" s="76"/>
      <c r="Z21" s="515"/>
      <c r="AA21" s="509"/>
    </row>
    <row r="22" spans="1:27" ht="16.5" customHeight="1" thickBot="1" x14ac:dyDescent="0.25">
      <c r="A22" s="89"/>
      <c r="B22" s="90"/>
      <c r="C22" s="153"/>
      <c r="D22" s="147" t="s">
        <v>549</v>
      </c>
      <c r="E22" s="152">
        <v>3</v>
      </c>
      <c r="F22" s="436" t="s">
        <v>20</v>
      </c>
      <c r="G22" s="604"/>
      <c r="H22" s="90"/>
      <c r="I22" s="50"/>
      <c r="J22" s="76"/>
      <c r="K22" s="147" t="s">
        <v>549</v>
      </c>
      <c r="L22" s="152">
        <v>3</v>
      </c>
      <c r="M22" s="436" t="s">
        <v>20</v>
      </c>
      <c r="N22" s="50"/>
      <c r="O22" s="50"/>
      <c r="P22" s="50"/>
      <c r="Q22" s="50"/>
      <c r="R22" s="83"/>
      <c r="S22" s="83"/>
      <c r="T22" s="76"/>
      <c r="U22" s="76"/>
      <c r="V22" s="76"/>
      <c r="W22" s="76"/>
      <c r="X22" s="76"/>
      <c r="Y22" s="76"/>
      <c r="Z22" s="515"/>
      <c r="AA22" s="509"/>
    </row>
    <row r="23" spans="1:27" ht="15.75" customHeight="1" thickBot="1" x14ac:dyDescent="0.35">
      <c r="A23" s="102"/>
      <c r="B23" s="105"/>
      <c r="C23" s="105"/>
      <c r="D23" s="213" t="str">
        <f>CHOOSE(MODE, "Resulting Output Voltage Ripple", "Resulting Output Voltage Ripple, Output #1")</f>
        <v>Resulting Output Voltage Ripple</v>
      </c>
      <c r="E23" s="214">
        <f>Vripple1_actual</f>
        <v>33.867958633705953</v>
      </c>
      <c r="F23" s="106" t="s">
        <v>103</v>
      </c>
      <c r="G23" s="602"/>
      <c r="H23" s="105"/>
      <c r="I23" s="513"/>
      <c r="J23" s="512"/>
      <c r="K23" s="213" t="str">
        <f>CHOOSE(MODE, "", "Resulting Output Voltage Ripple, Output #2")</f>
        <v/>
      </c>
      <c r="L23" s="214">
        <f>Vripple2_actual</f>
        <v>13.792171341291384</v>
      </c>
      <c r="M23" s="106" t="s">
        <v>103</v>
      </c>
      <c r="N23" s="50"/>
      <c r="O23" s="50"/>
      <c r="P23" s="50"/>
      <c r="Q23" s="50"/>
      <c r="R23" s="83"/>
      <c r="S23" s="83"/>
      <c r="T23" s="76"/>
      <c r="U23" s="76"/>
      <c r="V23" s="76"/>
      <c r="W23" s="76"/>
      <c r="X23" s="76"/>
      <c r="Y23" s="76"/>
      <c r="Z23" s="515"/>
      <c r="AA23" s="509"/>
    </row>
    <row r="24" spans="1:27" ht="13.5" customHeight="1" x14ac:dyDescent="0.2">
      <c r="A24" s="430"/>
      <c r="B24" s="76"/>
      <c r="C24" s="76"/>
      <c r="D24" s="76"/>
      <c r="E24" s="76"/>
      <c r="F24" s="76"/>
      <c r="G24" s="76"/>
      <c r="H24" s="76"/>
      <c r="I24" s="76"/>
      <c r="J24" s="76"/>
      <c r="K24" s="76"/>
      <c r="L24" s="76"/>
      <c r="M24" s="76"/>
      <c r="N24" s="50"/>
      <c r="O24" s="50"/>
      <c r="P24" s="50"/>
      <c r="Q24" s="50"/>
      <c r="R24" s="83"/>
      <c r="S24" s="83"/>
      <c r="T24" s="76"/>
      <c r="U24" s="76"/>
      <c r="V24" s="76"/>
      <c r="W24" s="76"/>
      <c r="X24" s="76"/>
      <c r="Y24" s="76"/>
      <c r="Z24" s="515"/>
      <c r="AA24" s="509"/>
    </row>
    <row r="25" spans="1:27" ht="19.5" customHeight="1" thickBot="1" x14ac:dyDescent="0.35">
      <c r="A25" s="107" t="s">
        <v>393</v>
      </c>
      <c r="B25" s="96"/>
      <c r="C25" s="90"/>
      <c r="D25" s="88"/>
      <c r="E25" s="90"/>
      <c r="F25" s="90"/>
      <c r="G25" s="90"/>
      <c r="H25" s="90"/>
      <c r="I25" s="50"/>
      <c r="J25" s="50"/>
      <c r="K25" s="50"/>
      <c r="L25" s="50"/>
      <c r="M25" s="50"/>
      <c r="N25" s="50"/>
      <c r="O25" s="50"/>
      <c r="P25" s="50"/>
      <c r="Q25" s="50"/>
      <c r="R25" s="83"/>
      <c r="S25" s="83"/>
      <c r="T25" s="76"/>
      <c r="U25" s="76"/>
      <c r="V25" s="76"/>
      <c r="W25" s="76"/>
      <c r="X25" s="76"/>
      <c r="Y25" s="76"/>
      <c r="Z25" s="515"/>
      <c r="AA25" s="509"/>
    </row>
    <row r="26" spans="1:27" ht="15.75" customHeight="1" x14ac:dyDescent="0.2">
      <c r="A26" s="142"/>
      <c r="B26" s="143"/>
      <c r="C26" s="211"/>
      <c r="D26" s="211" t="s">
        <v>378</v>
      </c>
      <c r="E26" s="595">
        <f>Rfb_recommend</f>
        <v>122.5</v>
      </c>
      <c r="F26" s="527" t="s">
        <v>21</v>
      </c>
      <c r="G26" s="90"/>
      <c r="H26" s="90"/>
      <c r="I26" s="50"/>
      <c r="J26" s="50"/>
      <c r="K26" s="50"/>
      <c r="L26" s="50"/>
      <c r="M26" s="50"/>
      <c r="N26" s="50"/>
      <c r="O26" s="50"/>
      <c r="P26" s="50"/>
      <c r="Q26" s="50"/>
      <c r="R26" s="83"/>
      <c r="S26" s="83"/>
      <c r="T26" s="76"/>
      <c r="U26" s="76"/>
      <c r="V26" s="76"/>
      <c r="W26" s="76"/>
      <c r="X26" s="76"/>
      <c r="Y26" s="76"/>
      <c r="Z26" s="515"/>
      <c r="AA26" s="509"/>
    </row>
    <row r="27" spans="1:27" ht="15.75" customHeight="1" thickBot="1" x14ac:dyDescent="0.25">
      <c r="A27" s="136"/>
      <c r="B27" s="135"/>
      <c r="C27" s="137"/>
      <c r="D27" s="154" t="s">
        <v>377</v>
      </c>
      <c r="E27" s="155">
        <v>121</v>
      </c>
      <c r="F27" s="149" t="str">
        <f>IF(Vout=Vref,"","kΩ")</f>
        <v>kΩ</v>
      </c>
      <c r="G27" s="90"/>
      <c r="H27" s="90"/>
      <c r="I27" s="50"/>
      <c r="J27" s="50"/>
      <c r="K27" s="50"/>
      <c r="L27" s="50"/>
      <c r="M27" s="50"/>
      <c r="N27" s="50"/>
      <c r="O27" s="50"/>
      <c r="P27" s="50"/>
      <c r="Q27" s="50"/>
      <c r="R27" s="83"/>
      <c r="S27" s="83"/>
      <c r="T27" s="76"/>
      <c r="U27" s="76"/>
      <c r="V27" s="76"/>
      <c r="W27" s="76"/>
      <c r="X27" s="76"/>
      <c r="Y27" s="76"/>
      <c r="Z27" s="515"/>
      <c r="AA27" s="509"/>
    </row>
    <row r="28" spans="1:27" ht="14.1" customHeight="1" x14ac:dyDescent="0.2">
      <c r="A28" s="394"/>
      <c r="B28" s="395"/>
      <c r="C28" s="396"/>
      <c r="D28" s="397" t="s">
        <v>293</v>
      </c>
      <c r="E28" s="398"/>
      <c r="F28" s="399"/>
      <c r="G28" s="91"/>
      <c r="H28" s="90"/>
      <c r="I28" s="50"/>
      <c r="J28" s="50"/>
      <c r="K28" s="50"/>
      <c r="L28" s="50"/>
      <c r="M28" s="50"/>
      <c r="N28" s="50"/>
      <c r="O28" s="50"/>
      <c r="P28" s="50"/>
      <c r="Q28" s="50"/>
      <c r="R28" s="83"/>
      <c r="S28" s="83"/>
      <c r="T28" s="76"/>
      <c r="U28" s="76"/>
      <c r="V28" s="76"/>
      <c r="W28" s="76"/>
      <c r="X28" s="76"/>
      <c r="Y28" s="76"/>
      <c r="Z28" s="515"/>
      <c r="AA28" s="509"/>
    </row>
    <row r="29" spans="1:27" ht="16.5" customHeight="1" x14ac:dyDescent="0.2">
      <c r="A29" s="136"/>
      <c r="B29" s="135"/>
      <c r="C29" s="135"/>
      <c r="D29" s="151" t="str">
        <f>CHOOSE(MODE_SS,"Soft-Start Time","*Leave SS Pin Open or Supply by Ext. Bias")</f>
        <v>Soft-Start Time</v>
      </c>
      <c r="E29" s="152">
        <v>9</v>
      </c>
      <c r="F29" s="149" t="s">
        <v>63</v>
      </c>
      <c r="G29" s="91"/>
      <c r="H29" s="90"/>
      <c r="I29" s="50"/>
      <c r="J29" s="50"/>
      <c r="K29" s="50"/>
      <c r="L29" s="50"/>
      <c r="M29" s="50"/>
      <c r="N29" s="50"/>
      <c r="O29" s="50"/>
      <c r="P29" s="50"/>
      <c r="Q29" s="50"/>
      <c r="R29" s="83"/>
      <c r="S29" s="83"/>
      <c r="T29" s="76"/>
      <c r="U29" s="76"/>
      <c r="V29" s="76"/>
      <c r="W29" s="76"/>
      <c r="X29" s="76"/>
      <c r="Y29" s="76"/>
      <c r="Z29" s="515"/>
      <c r="AA29" s="509"/>
    </row>
    <row r="30" spans="1:27" ht="16.5" customHeight="1" thickBot="1" x14ac:dyDescent="0.35">
      <c r="A30" s="139"/>
      <c r="B30" s="140"/>
      <c r="C30" s="140"/>
      <c r="D30" s="377" t="s">
        <v>142</v>
      </c>
      <c r="E30" s="393">
        <f>IF(Tss&gt;0.0006,Css_u*1000000000,"N/A")</f>
        <v>47</v>
      </c>
      <c r="F30" s="141" t="s">
        <v>56</v>
      </c>
      <c r="G30" s="91"/>
      <c r="H30" s="90"/>
      <c r="I30" s="50"/>
      <c r="J30" s="50"/>
      <c r="K30" s="50"/>
      <c r="L30" s="50"/>
      <c r="M30" s="50"/>
      <c r="N30" s="50"/>
      <c r="O30" s="50"/>
      <c r="P30" s="50"/>
      <c r="Q30" s="50"/>
      <c r="R30" s="83"/>
      <c r="S30" s="83"/>
      <c r="T30" s="76"/>
      <c r="U30" s="76"/>
      <c r="V30" s="76"/>
      <c r="W30" s="76"/>
      <c r="X30" s="76"/>
      <c r="Y30" s="76"/>
      <c r="Z30" s="515"/>
      <c r="AA30" s="509"/>
    </row>
    <row r="31" spans="1:27" ht="15.75" customHeight="1" x14ac:dyDescent="0.2">
      <c r="A31" s="136"/>
      <c r="B31" s="135"/>
      <c r="C31" s="135"/>
      <c r="D31" s="87" t="s">
        <v>391</v>
      </c>
      <c r="E31" s="150"/>
      <c r="F31" s="138"/>
      <c r="G31" s="90"/>
      <c r="H31" s="90"/>
      <c r="I31" s="50"/>
      <c r="J31" s="50"/>
      <c r="K31" s="50"/>
      <c r="L31" s="50"/>
      <c r="M31" s="50"/>
      <c r="N31" s="50"/>
      <c r="O31" s="50"/>
      <c r="P31" s="50"/>
      <c r="Q31" s="50"/>
      <c r="R31" s="83"/>
      <c r="S31" s="83"/>
      <c r="T31" s="76"/>
      <c r="U31" s="76"/>
      <c r="V31" s="76"/>
      <c r="W31" s="76"/>
      <c r="X31" s="76"/>
      <c r="Y31" s="76"/>
      <c r="Z31" s="515"/>
      <c r="AA31" s="509"/>
    </row>
    <row r="32" spans="1:27" ht="15.75" customHeight="1" x14ac:dyDescent="0.2">
      <c r="A32" s="136"/>
      <c r="B32" s="135"/>
      <c r="C32" s="135"/>
      <c r="D32" s="87" t="str">
        <f>CHOOSE(TC,"Diode Voltage Drop Thermal Coefficient","*Leave TC Pin Open")</f>
        <v>Diode Voltage Drop Thermal Coefficient</v>
      </c>
      <c r="E32" s="599">
        <v>-1.5</v>
      </c>
      <c r="F32" s="138" t="s">
        <v>390</v>
      </c>
      <c r="G32" s="90"/>
      <c r="H32" s="90"/>
      <c r="I32" s="50"/>
      <c r="J32" s="50"/>
      <c r="K32" s="50"/>
      <c r="L32" s="50"/>
      <c r="M32" s="50"/>
      <c r="N32" s="50"/>
      <c r="O32" s="50"/>
      <c r="P32" s="50"/>
      <c r="Q32" s="50"/>
      <c r="R32" s="83"/>
      <c r="S32" s="83"/>
      <c r="T32" s="76"/>
      <c r="U32" s="76"/>
      <c r="V32" s="76"/>
      <c r="W32" s="76"/>
      <c r="X32" s="76"/>
      <c r="Y32" s="76"/>
      <c r="Z32" s="515"/>
      <c r="AA32" s="509"/>
    </row>
    <row r="33" spans="1:35" ht="15.75" customHeight="1" thickBot="1" x14ac:dyDescent="0.25">
      <c r="A33" s="139"/>
      <c r="B33" s="156"/>
      <c r="C33" s="156"/>
      <c r="D33" s="516" t="s">
        <v>392</v>
      </c>
      <c r="E33" s="537">
        <f>RTC</f>
        <v>243</v>
      </c>
      <c r="F33" s="538" t="s">
        <v>21</v>
      </c>
      <c r="G33" s="90"/>
      <c r="H33" s="90"/>
      <c r="I33" s="50"/>
      <c r="J33" s="50"/>
      <c r="K33" s="74"/>
      <c r="L33" s="50"/>
      <c r="M33" s="50"/>
      <c r="N33" s="50"/>
      <c r="O33" s="50"/>
      <c r="P33" s="50"/>
      <c r="Q33" s="50"/>
      <c r="R33" s="83"/>
      <c r="S33" s="83"/>
      <c r="T33" s="76"/>
      <c r="U33" s="76"/>
      <c r="V33" s="76"/>
      <c r="W33" s="76"/>
      <c r="X33" s="76"/>
      <c r="Y33" s="76"/>
      <c r="Z33" s="515"/>
      <c r="AA33" s="509"/>
    </row>
    <row r="34" spans="1:35" ht="16.5" customHeight="1" x14ac:dyDescent="0.2">
      <c r="A34" s="136"/>
      <c r="B34" s="135"/>
      <c r="C34" s="135"/>
      <c r="D34" s="154" t="s">
        <v>307</v>
      </c>
      <c r="E34" s="150"/>
      <c r="F34" s="138"/>
      <c r="G34" s="90"/>
      <c r="H34" s="90"/>
      <c r="I34" s="50"/>
      <c r="J34" s="50"/>
      <c r="K34" s="50"/>
      <c r="L34" s="50"/>
      <c r="M34" s="50"/>
      <c r="N34" s="50"/>
      <c r="O34" s="50"/>
      <c r="P34" s="50"/>
      <c r="Q34" s="50"/>
      <c r="R34" s="83"/>
      <c r="S34" s="83"/>
      <c r="T34" s="76"/>
      <c r="U34" s="76"/>
      <c r="V34" s="76"/>
      <c r="W34" s="76"/>
      <c r="X34" s="76"/>
      <c r="Y34" s="76"/>
      <c r="Z34" s="515"/>
      <c r="AA34" s="509"/>
    </row>
    <row r="35" spans="1:35" ht="15.75" customHeight="1" x14ac:dyDescent="0.2">
      <c r="A35" s="136"/>
      <c r="B35" s="135"/>
      <c r="C35" s="153"/>
      <c r="D35" s="154" t="str">
        <f>CHOOSE(MODE_UVLO, "Input UVLO Turn-On Threshold", "*Connect EN pin to VIN or Logic HIGH")</f>
        <v>Input UVLO Turn-On Threshold</v>
      </c>
      <c r="E35" s="155">
        <v>6</v>
      </c>
      <c r="F35" s="149" t="s">
        <v>0</v>
      </c>
      <c r="G35" s="90"/>
      <c r="H35" s="90"/>
      <c r="I35" s="83"/>
      <c r="J35" s="83"/>
      <c r="K35" s="83"/>
      <c r="L35" s="215"/>
      <c r="M35" s="50"/>
      <c r="N35" s="50"/>
      <c r="O35" s="50"/>
      <c r="P35" s="50"/>
      <c r="Q35" s="50"/>
      <c r="R35" s="83"/>
      <c r="S35" s="83"/>
      <c r="T35" s="76"/>
      <c r="U35" s="76"/>
      <c r="V35" s="76"/>
      <c r="W35" s="76"/>
      <c r="X35" s="76"/>
      <c r="Y35" s="76"/>
      <c r="Z35" s="515"/>
      <c r="AA35" s="509"/>
    </row>
    <row r="36" spans="1:35" ht="15.75" customHeight="1" thickBot="1" x14ac:dyDescent="0.25">
      <c r="A36" s="139"/>
      <c r="B36" s="156"/>
      <c r="C36" s="156"/>
      <c r="D36" s="438" t="str">
        <f>CHOOSE(MODE_UVLO, "Input UVLO Turn-Off Threshold", "")</f>
        <v>Input UVLO Turn-Off Threshold</v>
      </c>
      <c r="E36" s="439">
        <v>4.5</v>
      </c>
      <c r="F36" s="440" t="s">
        <v>0</v>
      </c>
      <c r="G36" s="90"/>
      <c r="H36" s="137"/>
      <c r="I36" s="216"/>
      <c r="J36" s="218"/>
      <c r="K36" s="83"/>
      <c r="L36" s="83"/>
      <c r="M36" s="50"/>
      <c r="N36" s="50"/>
      <c r="O36" s="50"/>
      <c r="P36" s="50"/>
      <c r="Q36" s="50"/>
      <c r="R36" s="83"/>
      <c r="S36" s="83"/>
      <c r="T36" s="76"/>
      <c r="U36" s="76"/>
      <c r="V36" s="76"/>
      <c r="W36" s="76"/>
      <c r="X36" s="76"/>
      <c r="Y36" s="76"/>
      <c r="Z36" s="515"/>
      <c r="AA36" s="509"/>
    </row>
    <row r="37" spans="1:35" ht="15.75" customHeight="1" x14ac:dyDescent="0.2">
      <c r="A37" s="463"/>
      <c r="B37" s="135"/>
      <c r="C37" s="153"/>
      <c r="D37" s="137" t="s">
        <v>382</v>
      </c>
      <c r="E37" s="586">
        <f>'Variable Mgmt'!F142</f>
        <v>261</v>
      </c>
      <c r="F37" s="138" t="s">
        <v>21</v>
      </c>
      <c r="G37" s="90"/>
      <c r="H37" s="220"/>
      <c r="I37" s="151"/>
      <c r="J37" s="597"/>
      <c r="K37" s="219"/>
      <c r="L37" s="83"/>
      <c r="M37" s="50"/>
      <c r="N37" s="50"/>
      <c r="O37" s="50"/>
      <c r="P37" s="50"/>
      <c r="Q37" s="50"/>
      <c r="R37" s="83"/>
      <c r="S37" s="83"/>
      <c r="T37" s="76"/>
      <c r="U37" s="76"/>
      <c r="V37" s="76"/>
      <c r="W37" s="76"/>
      <c r="X37" s="76"/>
      <c r="Y37" s="76"/>
      <c r="Z37" s="515"/>
      <c r="AA37" s="509"/>
    </row>
    <row r="38" spans="1:35" ht="15.75" customHeight="1" thickBot="1" x14ac:dyDescent="0.25">
      <c r="A38" s="139"/>
      <c r="B38" s="156"/>
      <c r="C38" s="156"/>
      <c r="D38" s="516" t="s">
        <v>295</v>
      </c>
      <c r="E38" s="517">
        <f>'Variable Mgmt'!F143</f>
        <v>86.600000000000009</v>
      </c>
      <c r="F38" s="141" t="s">
        <v>21</v>
      </c>
      <c r="G38" s="90"/>
      <c r="H38" s="90"/>
      <c r="I38" s="83"/>
      <c r="J38" s="217"/>
      <c r="K38" s="83"/>
      <c r="L38" s="83"/>
      <c r="M38" s="50"/>
      <c r="N38" s="50"/>
      <c r="O38" s="50"/>
      <c r="P38" s="50"/>
      <c r="Q38" s="50" t="s">
        <v>78</v>
      </c>
      <c r="R38" s="83"/>
      <c r="S38" s="83"/>
      <c r="T38" s="76"/>
      <c r="U38" s="76"/>
      <c r="V38" s="76"/>
      <c r="W38" s="76"/>
      <c r="X38" s="76"/>
      <c r="Y38" s="76"/>
      <c r="Z38" s="515"/>
      <c r="AA38" s="509"/>
    </row>
    <row r="39" spans="1:35" ht="13.5" customHeight="1" x14ac:dyDescent="0.2">
      <c r="A39" s="463"/>
      <c r="B39" s="518"/>
      <c r="C39" s="518"/>
      <c r="D39" s="519"/>
      <c r="E39" s="520"/>
      <c r="F39" s="521"/>
      <c r="G39" s="90"/>
      <c r="H39" s="90"/>
      <c r="I39" s="50"/>
      <c r="J39" s="75"/>
      <c r="K39" s="50"/>
      <c r="L39" s="50"/>
      <c r="M39" s="50"/>
      <c r="N39" s="50"/>
      <c r="O39" s="50"/>
      <c r="P39" s="50"/>
      <c r="Q39" s="50"/>
      <c r="R39" s="83"/>
      <c r="S39" s="83"/>
      <c r="T39" s="76"/>
      <c r="U39" s="76"/>
      <c r="V39" s="76"/>
      <c r="W39" s="76"/>
      <c r="X39" s="76"/>
      <c r="Y39" s="76"/>
      <c r="Z39" s="515"/>
      <c r="AA39" s="509"/>
    </row>
    <row r="40" spans="1:35" ht="19.5" customHeight="1" thickBot="1" x14ac:dyDescent="0.25">
      <c r="A40" s="464" t="s">
        <v>508</v>
      </c>
      <c r="B40" s="90"/>
      <c r="C40" s="90"/>
      <c r="D40" s="88"/>
      <c r="E40" s="100"/>
      <c r="F40" s="90"/>
      <c r="G40" s="90"/>
      <c r="H40" s="90"/>
      <c r="I40" s="50"/>
      <c r="J40" s="75"/>
      <c r="K40" s="50"/>
      <c r="L40" s="50"/>
      <c r="M40" s="50"/>
      <c r="N40" s="50"/>
      <c r="O40" s="50"/>
      <c r="P40" s="50"/>
      <c r="Q40" s="50"/>
      <c r="R40" s="83"/>
      <c r="S40" s="83"/>
      <c r="T40" s="76"/>
      <c r="U40" s="76"/>
      <c r="V40" s="76"/>
      <c r="W40" s="76"/>
      <c r="X40" s="76"/>
      <c r="Y40" s="76"/>
      <c r="Z40" s="515"/>
      <c r="AA40" s="509"/>
    </row>
    <row r="41" spans="1:35" ht="15.75" customHeight="1" x14ac:dyDescent="0.25">
      <c r="A41" s="582"/>
      <c r="B41" s="510"/>
      <c r="C41" s="510"/>
      <c r="D41" s="583" t="s">
        <v>661</v>
      </c>
      <c r="E41" s="587">
        <v>0.25</v>
      </c>
      <c r="F41" s="584" t="s">
        <v>0</v>
      </c>
      <c r="G41" s="90"/>
      <c r="H41" s="90"/>
      <c r="I41" s="50"/>
      <c r="J41" s="75"/>
      <c r="K41" s="50"/>
      <c r="L41" s="50"/>
      <c r="M41" s="50"/>
      <c r="N41" s="50"/>
      <c r="O41" s="50"/>
      <c r="P41" s="50"/>
      <c r="Q41" s="50"/>
      <c r="R41" s="83"/>
      <c r="S41" s="83"/>
      <c r="T41" s="76"/>
      <c r="U41" s="76"/>
      <c r="V41" s="76"/>
      <c r="W41" s="76"/>
      <c r="X41" s="76"/>
      <c r="Y41" s="76"/>
      <c r="Z41" s="515"/>
      <c r="AA41" s="509"/>
    </row>
    <row r="42" spans="1:35" ht="15.75" customHeight="1" x14ac:dyDescent="0.25">
      <c r="A42" s="430"/>
      <c r="B42" s="76"/>
      <c r="C42" s="76"/>
      <c r="D42" s="643" t="s">
        <v>662</v>
      </c>
      <c r="E42" s="99">
        <v>0.4</v>
      </c>
      <c r="F42" s="435" t="s">
        <v>0</v>
      </c>
      <c r="G42" s="90"/>
      <c r="H42" s="90"/>
      <c r="I42" s="50"/>
      <c r="J42" s="75"/>
      <c r="K42" s="50"/>
      <c r="L42" s="50"/>
      <c r="M42" s="50"/>
      <c r="N42" s="50"/>
      <c r="O42" s="50"/>
      <c r="P42" s="50"/>
      <c r="Q42" s="50"/>
      <c r="R42" s="83"/>
      <c r="S42" s="83"/>
      <c r="T42" s="76"/>
      <c r="U42" s="76"/>
      <c r="V42" s="76"/>
      <c r="W42" s="76"/>
      <c r="X42" s="76"/>
      <c r="Y42" s="76"/>
      <c r="Z42" s="515"/>
      <c r="AA42" s="509"/>
    </row>
    <row r="43" spans="1:35" ht="15.75" customHeight="1" x14ac:dyDescent="0.2">
      <c r="A43" s="89"/>
      <c r="B43" s="135"/>
      <c r="C43" s="135"/>
      <c r="D43" s="154" t="s">
        <v>306</v>
      </c>
      <c r="E43" s="581">
        <v>77</v>
      </c>
      <c r="F43" s="436" t="s">
        <v>84</v>
      </c>
      <c r="G43" s="90"/>
      <c r="H43" s="90"/>
      <c r="I43" s="50"/>
      <c r="J43" s="75"/>
      <c r="K43" s="50"/>
      <c r="L43" s="50"/>
      <c r="M43" s="50"/>
      <c r="N43" s="50"/>
      <c r="O43" s="50"/>
      <c r="P43" s="50"/>
      <c r="Q43" s="50"/>
      <c r="R43" s="83"/>
      <c r="S43" s="83"/>
      <c r="T43" s="76"/>
      <c r="U43" s="76"/>
      <c r="V43" s="76"/>
      <c r="W43" s="76"/>
      <c r="X43" s="76"/>
      <c r="Y43" s="76"/>
      <c r="Z43" s="515"/>
      <c r="AA43" s="509"/>
    </row>
    <row r="44" spans="1:35" ht="15.75" customHeight="1" x14ac:dyDescent="0.25">
      <c r="A44" s="89"/>
      <c r="B44" s="90"/>
      <c r="C44" s="90"/>
      <c r="D44" s="87" t="s">
        <v>518</v>
      </c>
      <c r="E44" s="378">
        <v>25</v>
      </c>
      <c r="F44" s="435" t="s">
        <v>102</v>
      </c>
      <c r="G44" s="90"/>
      <c r="H44" s="90"/>
      <c r="I44" s="50"/>
      <c r="J44" s="50"/>
      <c r="K44" s="50"/>
      <c r="L44" s="50"/>
      <c r="M44" s="50"/>
      <c r="N44" s="50"/>
      <c r="O44" s="50"/>
      <c r="P44" s="50"/>
      <c r="Q44" s="50"/>
      <c r="R44" s="83"/>
      <c r="S44" s="83"/>
      <c r="T44" s="76"/>
      <c r="U44" s="76"/>
      <c r="V44" s="76"/>
      <c r="W44" s="76"/>
      <c r="X44" s="76"/>
      <c r="Y44" s="76"/>
      <c r="Z44" s="515"/>
      <c r="AA44" s="509"/>
    </row>
    <row r="45" spans="1:35" ht="15.75" customHeight="1" x14ac:dyDescent="0.3">
      <c r="A45" s="89"/>
      <c r="B45" s="90"/>
      <c r="C45" s="90"/>
      <c r="D45" s="88" t="s">
        <v>695</v>
      </c>
      <c r="E45" s="374">
        <f>CHOOSE(MODE, 'Calculations - Single'!BN105, 'Calculations - Dual'!BM105)</f>
        <v>352.85603960715412</v>
      </c>
      <c r="F45" s="104" t="s">
        <v>294</v>
      </c>
      <c r="G45" s="90"/>
      <c r="H45" s="90"/>
      <c r="I45" s="50"/>
      <c r="J45" s="50"/>
      <c r="K45" s="50"/>
      <c r="L45" s="50"/>
      <c r="M45" s="50"/>
      <c r="N45" s="50"/>
      <c r="O45" s="50"/>
      <c r="P45" s="50"/>
      <c r="Q45" s="50"/>
      <c r="R45" s="83"/>
      <c r="S45" s="83"/>
      <c r="T45" s="76"/>
      <c r="U45" s="76"/>
      <c r="V45" s="76"/>
      <c r="W45" s="76"/>
      <c r="X45" s="76"/>
      <c r="Y45" s="76"/>
      <c r="Z45" s="515"/>
      <c r="AA45" s="509"/>
    </row>
    <row r="46" spans="1:35" ht="15.75" customHeight="1" thickBot="1" x14ac:dyDescent="0.35">
      <c r="A46" s="102"/>
      <c r="B46" s="103"/>
      <c r="C46" s="103"/>
      <c r="D46" s="377" t="s">
        <v>696</v>
      </c>
      <c r="E46" s="526">
        <f>E44+E45/1000*E43</f>
        <v>52.16991504975087</v>
      </c>
      <c r="F46" s="437" t="s">
        <v>102</v>
      </c>
      <c r="G46" s="90"/>
      <c r="H46" s="90"/>
      <c r="I46" s="50"/>
      <c r="J46" s="50"/>
      <c r="K46" s="50"/>
      <c r="L46" s="50"/>
      <c r="M46" s="50"/>
      <c r="N46" s="50"/>
      <c r="O46" s="50"/>
      <c r="P46" s="50"/>
      <c r="Q46" s="50"/>
      <c r="R46" s="83"/>
      <c r="S46" s="83"/>
      <c r="T46" s="76"/>
      <c r="U46" s="76"/>
      <c r="V46" s="76"/>
      <c r="W46" s="76"/>
      <c r="X46" s="76"/>
      <c r="Y46" s="76"/>
      <c r="Z46" s="515"/>
      <c r="AA46" s="509"/>
    </row>
    <row r="47" spans="1:35" ht="15.75" customHeight="1" thickBot="1" x14ac:dyDescent="0.25">
      <c r="A47" s="102"/>
      <c r="B47" s="105"/>
      <c r="C47" s="105"/>
      <c r="D47" s="105"/>
      <c r="E47" s="575"/>
      <c r="F47" s="105"/>
      <c r="G47" s="105"/>
      <c r="H47" s="105"/>
      <c r="I47" s="513"/>
      <c r="J47" s="513"/>
      <c r="K47" s="513"/>
      <c r="L47" s="513"/>
      <c r="M47" s="513"/>
      <c r="N47" s="513"/>
      <c r="O47" s="513"/>
      <c r="P47" s="513"/>
      <c r="Q47" s="513"/>
      <c r="R47" s="511"/>
      <c r="S47" s="511"/>
      <c r="T47" s="511"/>
      <c r="U47" s="512"/>
      <c r="V47" s="512"/>
      <c r="W47" s="511"/>
      <c r="X47" s="511"/>
      <c r="Y47" s="511"/>
      <c r="Z47" s="576"/>
      <c r="AA47" s="509"/>
      <c r="AB47" s="24"/>
      <c r="AC47" s="24"/>
      <c r="AD47" s="24"/>
      <c r="AG47" s="24"/>
      <c r="AH47" s="24"/>
      <c r="AI47" s="24"/>
    </row>
    <row r="48" spans="1:35" x14ac:dyDescent="0.2">
      <c r="A48" s="420"/>
      <c r="B48" s="421"/>
      <c r="C48" s="422"/>
      <c r="D48" s="422"/>
      <c r="E48" s="422"/>
      <c r="F48" s="422"/>
      <c r="G48" s="422"/>
      <c r="H48" s="422"/>
      <c r="I48" s="422"/>
      <c r="J48" s="422"/>
      <c r="K48" s="422"/>
      <c r="L48" s="422"/>
      <c r="M48" s="422"/>
      <c r="N48" s="422"/>
      <c r="O48" s="422"/>
      <c r="P48" s="422"/>
      <c r="Q48" s="422"/>
      <c r="R48" s="419"/>
      <c r="S48" s="419"/>
      <c r="T48" s="419"/>
      <c r="U48" s="509"/>
      <c r="V48" s="509"/>
      <c r="W48" s="419"/>
      <c r="X48" s="419"/>
      <c r="Y48" s="419"/>
      <c r="Z48" s="509"/>
      <c r="AA48" s="509"/>
      <c r="AB48" s="24"/>
      <c r="AC48" s="24"/>
      <c r="AD48" s="24"/>
      <c r="AG48" s="24"/>
      <c r="AH48" s="24"/>
      <c r="AI48" s="24"/>
    </row>
    <row r="49" spans="1:35" x14ac:dyDescent="0.2">
      <c r="A49" s="46"/>
      <c r="B49" s="46"/>
      <c r="C49" s="46"/>
      <c r="D49" s="46"/>
      <c r="E49" s="46"/>
      <c r="F49" s="46"/>
      <c r="G49" s="46"/>
      <c r="H49" s="46"/>
      <c r="I49" s="46"/>
      <c r="J49" s="46"/>
      <c r="K49" s="46"/>
      <c r="L49" s="46"/>
      <c r="M49" s="46"/>
      <c r="N49" s="46"/>
      <c r="O49" s="46"/>
      <c r="P49" s="46"/>
      <c r="Q49" s="46"/>
      <c r="R49" s="24"/>
      <c r="S49" s="24"/>
      <c r="T49" s="24"/>
      <c r="W49" s="24"/>
      <c r="X49" s="24"/>
      <c r="Y49" s="24"/>
      <c r="AB49" s="24"/>
      <c r="AC49" s="24"/>
      <c r="AD49" s="24"/>
      <c r="AG49" s="24"/>
      <c r="AH49" s="24"/>
      <c r="AI49" s="24"/>
    </row>
    <row r="50" spans="1:35" x14ac:dyDescent="0.2">
      <c r="B50" s="46"/>
      <c r="C50" s="46"/>
      <c r="D50" s="46"/>
      <c r="E50" s="46"/>
      <c r="F50" s="46"/>
      <c r="G50" s="46"/>
      <c r="H50" s="46"/>
      <c r="I50" s="46"/>
      <c r="J50" s="46"/>
      <c r="K50" s="46"/>
      <c r="L50" s="46"/>
      <c r="R50" s="24"/>
      <c r="S50" s="24"/>
      <c r="T50" s="24"/>
      <c r="W50" s="24"/>
      <c r="X50" s="24"/>
      <c r="Y50" s="24"/>
      <c r="AB50" s="24"/>
      <c r="AC50" s="24"/>
      <c r="AD50" s="24"/>
      <c r="AG50" s="24"/>
      <c r="AH50" s="24"/>
      <c r="AI50" s="24"/>
    </row>
    <row r="51" spans="1:35" x14ac:dyDescent="0.2">
      <c r="B51" s="46"/>
      <c r="C51" s="46"/>
      <c r="D51" s="46"/>
      <c r="E51" s="46"/>
      <c r="F51" s="46"/>
      <c r="G51" s="46"/>
      <c r="H51" s="46"/>
      <c r="I51" s="46"/>
      <c r="J51" s="46"/>
      <c r="K51" s="46"/>
      <c r="L51" s="46"/>
      <c r="R51" s="24"/>
      <c r="S51" s="24"/>
      <c r="T51" s="24"/>
      <c r="W51" s="24"/>
      <c r="X51" s="24"/>
      <c r="Y51" s="24"/>
      <c r="AB51" s="24"/>
      <c r="AC51" s="24"/>
      <c r="AD51" s="24"/>
      <c r="AG51" s="24"/>
      <c r="AH51" s="24"/>
      <c r="AI51" s="24"/>
    </row>
    <row r="52" spans="1:35" x14ac:dyDescent="0.2">
      <c r="B52" s="46"/>
      <c r="C52" s="46"/>
      <c r="D52" s="46"/>
      <c r="E52" s="46"/>
      <c r="F52" s="46"/>
      <c r="G52" s="46"/>
      <c r="H52" s="46"/>
      <c r="I52" s="46"/>
      <c r="J52" s="46"/>
      <c r="K52" s="46"/>
      <c r="L52" s="46"/>
      <c r="R52" s="24"/>
      <c r="S52" s="24"/>
      <c r="T52" s="24"/>
      <c r="W52" s="24"/>
      <c r="X52" s="24"/>
      <c r="Y52" s="24"/>
      <c r="AB52" s="24"/>
      <c r="AC52" s="24"/>
      <c r="AD52" s="24"/>
      <c r="AG52" s="24"/>
      <c r="AH52" s="24"/>
      <c r="AI52" s="24"/>
    </row>
    <row r="53" spans="1:35" x14ac:dyDescent="0.2">
      <c r="B53" s="46"/>
      <c r="C53" s="46"/>
      <c r="D53" s="46"/>
      <c r="E53" s="46"/>
      <c r="F53" s="46"/>
      <c r="G53" s="46"/>
      <c r="H53" s="46"/>
      <c r="I53" s="46"/>
      <c r="J53" s="46"/>
      <c r="K53" s="46"/>
      <c r="L53" s="46"/>
      <c r="R53" s="24"/>
      <c r="S53" s="24"/>
      <c r="T53" s="24"/>
      <c r="W53" s="24"/>
      <c r="X53" s="24"/>
      <c r="Y53" s="24"/>
      <c r="AB53" s="24"/>
      <c r="AC53" s="24"/>
      <c r="AD53" s="24"/>
      <c r="AG53" s="24"/>
      <c r="AH53" s="24"/>
      <c r="AI53" s="24"/>
    </row>
  </sheetData>
  <sheetProtection password="CCC8" sheet="1" objects="1" scenarios="1" selectLockedCells="1"/>
  <phoneticPr fontId="6" type="noConversion"/>
  <conditionalFormatting sqref="E6:E8">
    <cfRule type="cellIs" dxfId="47" priority="105" stopIfTrue="1" operator="notBetween">
      <formula>42</formula>
      <formula>4.5</formula>
    </cfRule>
  </conditionalFormatting>
  <conditionalFormatting sqref="E10">
    <cfRule type="cellIs" dxfId="46" priority="102" stopIfTrue="1" operator="notBetween">
      <formula>-200</formula>
      <formula>200</formula>
    </cfRule>
  </conditionalFormatting>
  <conditionalFormatting sqref="E21">
    <cfRule type="cellIs" dxfId="45" priority="99" stopIfTrue="1" operator="lessThan">
      <formula>$E$20</formula>
    </cfRule>
  </conditionalFormatting>
  <conditionalFormatting sqref="E17">
    <cfRule type="cellIs" dxfId="44" priority="95" stopIfTrue="1" operator="lessThan">
      <formula>$E$16</formula>
    </cfRule>
  </conditionalFormatting>
  <conditionalFormatting sqref="E18">
    <cfRule type="cellIs" dxfId="43" priority="94" stopIfTrue="1" operator="equal">
      <formula>0</formula>
    </cfRule>
  </conditionalFormatting>
  <conditionalFormatting sqref="E35">
    <cfRule type="cellIs" dxfId="42" priority="91" operator="notBetween">
      <formula>42</formula>
      <formula>4.5</formula>
    </cfRule>
  </conditionalFormatting>
  <conditionalFormatting sqref="E29">
    <cfRule type="cellIs" dxfId="41" priority="89" operator="lessThan">
      <formula>6</formula>
    </cfRule>
  </conditionalFormatting>
  <conditionalFormatting sqref="F14">
    <cfRule type="expression" dxfId="40" priority="78">
      <formula>(MODE=2)</formula>
    </cfRule>
  </conditionalFormatting>
  <conditionalFormatting sqref="E29:F29">
    <cfRule type="expression" dxfId="39" priority="73">
      <formula>OR(MODE_SS=2,MODE_SS=3)</formula>
    </cfRule>
  </conditionalFormatting>
  <conditionalFormatting sqref="D29">
    <cfRule type="expression" dxfId="38" priority="72">
      <formula>OR(MODE_SS=2,MODE_SS=3)</formula>
    </cfRule>
  </conditionalFormatting>
  <conditionalFormatting sqref="D30:F30">
    <cfRule type="expression" dxfId="37" priority="71">
      <formula>OR(MODE_SS=2,MODE_SS=3)</formula>
    </cfRule>
  </conditionalFormatting>
  <conditionalFormatting sqref="D35">
    <cfRule type="expression" dxfId="36" priority="69">
      <formula>MODE_UVLO=2</formula>
    </cfRule>
  </conditionalFormatting>
  <conditionalFormatting sqref="C37:F39 E35:F36">
    <cfRule type="expression" dxfId="35" priority="43">
      <formula>MODE_UVLO=2</formula>
    </cfRule>
  </conditionalFormatting>
  <conditionalFormatting sqref="D36">
    <cfRule type="expression" dxfId="34" priority="66">
      <formula>MODE_UVLO=2</formula>
    </cfRule>
  </conditionalFormatting>
  <conditionalFormatting sqref="E46">
    <cfRule type="cellIs" dxfId="33" priority="51" operator="notBetween">
      <formula>-40</formula>
      <formula>150</formula>
    </cfRule>
  </conditionalFormatting>
  <conditionalFormatting sqref="E44">
    <cfRule type="cellIs" dxfId="32" priority="50" operator="notBetween">
      <formula>-40</formula>
      <formula>150</formula>
    </cfRule>
  </conditionalFormatting>
  <conditionalFormatting sqref="F20">
    <cfRule type="cellIs" dxfId="31" priority="49" stopIfTrue="1" operator="lessThanOrEqual">
      <formula>0</formula>
    </cfRule>
  </conditionalFormatting>
  <conditionalFormatting sqref="A36:F36">
    <cfRule type="expression" dxfId="30" priority="33">
      <formula>MODE_UVLO=1</formula>
    </cfRule>
  </conditionalFormatting>
  <conditionalFormatting sqref="A39:F39">
    <cfRule type="expression" dxfId="29" priority="42">
      <formula>MODE_UVLO=2</formula>
    </cfRule>
  </conditionalFormatting>
  <conditionalFormatting sqref="F37:F38">
    <cfRule type="expression" dxfId="28" priority="41">
      <formula>MODE_UVLO=2</formula>
    </cfRule>
  </conditionalFormatting>
  <conditionalFormatting sqref="E36">
    <cfRule type="cellIs" dxfId="27" priority="67" operator="notBetween">
      <formula>3.5</formula>
      <formula>$E$35</formula>
    </cfRule>
  </conditionalFormatting>
  <conditionalFormatting sqref="F16">
    <cfRule type="cellIs" dxfId="26" priority="31" stopIfTrue="1" operator="lessThanOrEqual">
      <formula>0</formula>
    </cfRule>
  </conditionalFormatting>
  <conditionalFormatting sqref="E11">
    <cfRule type="cellIs" dxfId="25" priority="30" operator="between">
      <formula>-0.0099</formula>
      <formula>0.0099</formula>
    </cfRule>
  </conditionalFormatting>
  <conditionalFormatting sqref="J37">
    <cfRule type="cellIs" dxfId="24" priority="113" stopIfTrue="1" operator="notBetween">
      <formula>600</formula>
      <formula>50</formula>
    </cfRule>
    <cfRule type="cellIs" dxfId="23" priority="114" stopIfTrue="1" operator="greaterThan">
      <formula>$E$9</formula>
    </cfRule>
  </conditionalFormatting>
  <conditionalFormatting sqref="E12">
    <cfRule type="cellIs" dxfId="22" priority="29" operator="notBetween">
      <formula>-200</formula>
      <formula>200</formula>
    </cfRule>
  </conditionalFormatting>
  <conditionalFormatting sqref="E13">
    <cfRule type="cellIs" dxfId="21" priority="27" operator="between">
      <formula>-0.0099</formula>
      <formula>0.0099</formula>
    </cfRule>
  </conditionalFormatting>
  <conditionalFormatting sqref="E13">
    <cfRule type="expression" dxfId="20" priority="28">
      <formula>Iout2 &gt; 2</formula>
    </cfRule>
  </conditionalFormatting>
  <conditionalFormatting sqref="E22">
    <cfRule type="cellIs" dxfId="19" priority="23" stopIfTrue="1" operator="equal">
      <formula>0</formula>
    </cfRule>
  </conditionalFormatting>
  <conditionalFormatting sqref="D32">
    <cfRule type="expression" dxfId="18" priority="18">
      <formula>OR(TC=2)</formula>
    </cfRule>
  </conditionalFormatting>
  <conditionalFormatting sqref="D33:F33 E32:F32">
    <cfRule type="expression" dxfId="17" priority="17">
      <formula>OR(TC=2)</formula>
    </cfRule>
  </conditionalFormatting>
  <conditionalFormatting sqref="L22">
    <cfRule type="cellIs" dxfId="16" priority="11" stopIfTrue="1" operator="equal">
      <formula>0</formula>
    </cfRule>
  </conditionalFormatting>
  <conditionalFormatting sqref="L21">
    <cfRule type="cellIs" dxfId="15" priority="13" stopIfTrue="1" operator="lessThan">
      <formula>$L$20</formula>
    </cfRule>
  </conditionalFormatting>
  <conditionalFormatting sqref="M20">
    <cfRule type="cellIs" dxfId="14" priority="12" stopIfTrue="1" operator="lessThanOrEqual">
      <formula>0</formula>
    </cfRule>
  </conditionalFormatting>
  <hyperlinks>
    <hyperlink ref="C3" r:id="rId1"/>
  </hyperlinks>
  <printOptions horizontalCentered="1" verticalCentered="1"/>
  <pageMargins left="0.1" right="0.1" top="0.1" bottom="0.1" header="0.25" footer="0.25"/>
  <pageSetup scale="61" orientation="landscape" r:id="rId2"/>
  <headerFooter alignWithMargins="0"/>
  <rowBreaks count="1" manualBreakCount="1">
    <brk id="48" max="16383"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672895" r:id="rId6" name="Spinner 127">
              <controlPr defaultSize="0" autoPict="0">
                <anchor moveWithCells="1" sizeWithCells="1">
                  <from>
                    <xdr:col>5</xdr:col>
                    <xdr:colOff>123825</xdr:colOff>
                    <xdr:row>6</xdr:row>
                    <xdr:rowOff>9525</xdr:rowOff>
                  </from>
                  <to>
                    <xdr:col>5</xdr:col>
                    <xdr:colOff>304800</xdr:colOff>
                    <xdr:row>7</xdr:row>
                    <xdr:rowOff>28575</xdr:rowOff>
                  </to>
                </anchor>
              </controlPr>
            </control>
          </mc:Choice>
        </mc:AlternateContent>
        <mc:AlternateContent xmlns:mc="http://schemas.openxmlformats.org/markup-compatibility/2006">
          <mc:Choice Requires="x14">
            <control shapeId="672935" r:id="rId7" name="Drop Down 167">
              <controlPr defaultSize="0" autoLine="0" autoPict="0">
                <anchor moveWithCells="1">
                  <from>
                    <xdr:col>4</xdr:col>
                    <xdr:colOff>9525</xdr:colOff>
                    <xdr:row>27</xdr:row>
                    <xdr:rowOff>0</xdr:rowOff>
                  </from>
                  <to>
                    <xdr:col>5</xdr:col>
                    <xdr:colOff>276225</xdr:colOff>
                    <xdr:row>28</xdr:row>
                    <xdr:rowOff>28575</xdr:rowOff>
                  </to>
                </anchor>
              </controlPr>
            </control>
          </mc:Choice>
        </mc:AlternateContent>
        <mc:AlternateContent xmlns:mc="http://schemas.openxmlformats.org/markup-compatibility/2006">
          <mc:Choice Requires="x14">
            <control shapeId="673043" r:id="rId8" name="Drop Down 275">
              <controlPr defaultSize="0" autoLine="0" autoPict="0">
                <anchor moveWithCells="1">
                  <from>
                    <xdr:col>4</xdr:col>
                    <xdr:colOff>9525</xdr:colOff>
                    <xdr:row>33</xdr:row>
                    <xdr:rowOff>0</xdr:rowOff>
                  </from>
                  <to>
                    <xdr:col>5</xdr:col>
                    <xdr:colOff>257175</xdr:colOff>
                    <xdr:row>33</xdr:row>
                    <xdr:rowOff>200025</xdr:rowOff>
                  </to>
                </anchor>
              </controlPr>
            </control>
          </mc:Choice>
        </mc:AlternateContent>
        <mc:AlternateContent xmlns:mc="http://schemas.openxmlformats.org/markup-compatibility/2006">
          <mc:Choice Requires="x14">
            <control shapeId="697343" r:id="rId9" name="Drop Down 3071">
              <controlPr defaultSize="0" autoLine="0" autoPict="0">
                <anchor moveWithCells="1">
                  <from>
                    <xdr:col>11</xdr:col>
                    <xdr:colOff>9525</xdr:colOff>
                    <xdr:row>11</xdr:row>
                    <xdr:rowOff>0</xdr:rowOff>
                  </from>
                  <to>
                    <xdr:col>12</xdr:col>
                    <xdr:colOff>66675</xdr:colOff>
                    <xdr:row>12</xdr:row>
                    <xdr:rowOff>9525</xdr:rowOff>
                  </to>
                </anchor>
              </controlPr>
            </control>
          </mc:Choice>
        </mc:AlternateContent>
        <mc:AlternateContent xmlns:mc="http://schemas.openxmlformats.org/markup-compatibility/2006">
          <mc:Choice Requires="x14">
            <control shapeId="714798" r:id="rId10" name="Drop Down 3118">
              <controlPr defaultSize="0" autoLine="0" autoPict="0">
                <anchor moveWithCells="1">
                  <from>
                    <xdr:col>4</xdr:col>
                    <xdr:colOff>0</xdr:colOff>
                    <xdr:row>30</xdr:row>
                    <xdr:rowOff>9525</xdr:rowOff>
                  </from>
                  <to>
                    <xdr:col>5</xdr:col>
                    <xdr:colOff>266700</xdr:colOff>
                    <xdr:row>31</xdr:row>
                    <xdr:rowOff>9525</xdr:rowOff>
                  </to>
                </anchor>
              </controlPr>
            </control>
          </mc:Choice>
        </mc:AlternateContent>
        <mc:AlternateContent xmlns:mc="http://schemas.openxmlformats.org/markup-compatibility/2006">
          <mc:Choice Requires="x14">
            <control shapeId="715085" r:id="rId11" name="Drop Down 3405">
              <controlPr locked="0" defaultSize="0" autoLine="0" autoPict="0">
                <anchor moveWithCells="1">
                  <from>
                    <xdr:col>4</xdr:col>
                    <xdr:colOff>0</xdr:colOff>
                    <xdr:row>7</xdr:row>
                    <xdr:rowOff>190500</xdr:rowOff>
                  </from>
                  <to>
                    <xdr:col>5</xdr:col>
                    <xdr:colOff>76200</xdr:colOff>
                    <xdr:row>8</xdr:row>
                    <xdr:rowOff>190500</xdr:rowOff>
                  </to>
                </anchor>
              </controlPr>
            </control>
          </mc:Choice>
        </mc:AlternateContent>
        <mc:AlternateContent xmlns:mc="http://schemas.openxmlformats.org/markup-compatibility/2006">
          <mc:Choice Requires="x14">
            <control shapeId="736565" r:id="rId12" name="Drop Down 4405">
              <controlPr locked="0" defaultSize="0" autoLine="0" autoPict="0">
                <anchor moveWithCells="1">
                  <from>
                    <xdr:col>4</xdr:col>
                    <xdr:colOff>0</xdr:colOff>
                    <xdr:row>4</xdr:row>
                    <xdr:rowOff>9525</xdr:rowOff>
                  </from>
                  <to>
                    <xdr:col>5</xdr:col>
                    <xdr:colOff>266700</xdr:colOff>
                    <xdr:row>4</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3" id="{2F97F2FF-95A0-40C5-B045-6ADA68EA7C2F}">
            <xm:f>'Variable Mgmt'!$B$52</xm:f>
            <x14:dxf>
              <font>
                <strike val="0"/>
                <color theme="0"/>
              </font>
              <fill>
                <patternFill>
                  <bgColor theme="0"/>
                </patternFill>
              </fill>
            </x14:dxf>
          </x14:cfRule>
          <xm:sqref>E12:E13</xm:sqref>
        </x14:conditionalFormatting>
        <x14:conditionalFormatting xmlns:xm="http://schemas.microsoft.com/office/excel/2006/main">
          <x14:cfRule type="expression" priority="145" id="{9B976DD7-FFA8-454F-A63D-186A721FDF9C}">
            <xm:f>'Variable Mgmt'!$B$52</xm:f>
            <x14:dxf>
              <border>
                <bottom/>
                <vertical/>
                <horizontal/>
              </border>
            </x14:dxf>
          </x14:cfRule>
          <xm:sqref>A12:F13</xm:sqref>
        </x14:conditionalFormatting>
        <x14:conditionalFormatting xmlns:xm="http://schemas.microsoft.com/office/excel/2006/main">
          <x14:cfRule type="expression" priority="146" id="{25C53C6F-CE07-4419-8FCF-F6B8FCD8434A}">
            <xm:f>'Variable Mgmt'!$B$52</xm:f>
            <x14:dxf>
              <border>
                <right/>
                <vertical/>
                <horizontal/>
              </border>
            </x14:dxf>
          </x14:cfRule>
          <xm:sqref>F12:F13</xm:sqref>
        </x14:conditionalFormatting>
        <x14:conditionalFormatting xmlns:xm="http://schemas.microsoft.com/office/excel/2006/main">
          <x14:cfRule type="expression" priority="16" id="{56BB0655-3B2C-4E9D-AD05-7700A46C30F4}">
            <xm:f>'Variable Mgmt'!$B$52=FALSE</xm:f>
            <x14:dxf>
              <border>
                <bottom/>
                <vertical/>
                <horizontal/>
              </border>
            </x14:dxf>
          </x14:cfRule>
          <xm:sqref>A12:F12</xm:sqref>
        </x14:conditionalFormatting>
        <x14:conditionalFormatting xmlns:xm="http://schemas.microsoft.com/office/excel/2006/main">
          <x14:cfRule type="expression" priority="15" id="{7DE853EF-1754-4C48-A140-FF26B3EC5CF8}">
            <xm:f>'Variable Mgmt'!$B$52=FALSE</xm:f>
            <x14:dxf>
              <border>
                <bottom/>
                <vertical/>
                <horizontal/>
              </border>
            </x14:dxf>
          </x14:cfRule>
          <xm:sqref>A11:F11</xm:sqref>
        </x14:conditionalFormatting>
        <x14:conditionalFormatting xmlns:xm="http://schemas.microsoft.com/office/excel/2006/main">
          <x14:cfRule type="expression" priority="10" id="{18CE8F81-B526-43C7-B5F1-BAA9C73809CD}">
            <xm:f>'Variable Mgmt'!$B$52=TRUE</xm:f>
            <x14:dxf>
              <font>
                <color theme="0"/>
              </font>
              <fill>
                <patternFill>
                  <bgColor theme="0"/>
                </patternFill>
              </fill>
              <border>
                <right/>
                <top/>
                <bottom/>
              </border>
            </x14:dxf>
          </x14:cfRule>
          <xm:sqref>K20:M23</xm:sqref>
        </x14:conditionalFormatting>
        <x14:conditionalFormatting xmlns:xm="http://schemas.microsoft.com/office/excel/2006/main">
          <x14:cfRule type="expression" priority="9" id="{B42E45EE-F49B-4512-9DB9-8B85B95C6919}">
            <xm:f>'Variable Mgmt'!$B$52=TRUE</xm:f>
            <x14:dxf>
              <border>
                <left/>
                <right/>
                <top/>
                <bottom/>
                <vertical/>
                <horizontal/>
              </border>
            </x14:dxf>
          </x14:cfRule>
          <xm:sqref>H20:J23</xm:sqref>
        </x14:conditionalFormatting>
        <x14:conditionalFormatting xmlns:xm="http://schemas.microsoft.com/office/excel/2006/main">
          <x14:cfRule type="expression" priority="8" id="{8076779E-531E-4945-9FF1-9C72CDB0D6DC}">
            <xm:f>'Variable Mgmt'!$B$52=TRUE</xm:f>
            <x14:dxf>
              <border>
                <top/>
                <bottom/>
                <vertical/>
                <horizontal/>
              </border>
            </x14:dxf>
          </x14:cfRule>
          <xm:sqref>G21:G22</xm:sqref>
        </x14:conditionalFormatting>
        <x14:conditionalFormatting xmlns:xm="http://schemas.microsoft.com/office/excel/2006/main">
          <x14:cfRule type="expression" priority="150" id="{EE277573-B7FD-4D2F-97C3-CC46EAD89E7B}">
            <xm:f>AND('Variable Mgmt'!#REF!&gt;'Variable Mgmt'!$B$56*1/1000, MODE=1)</xm:f>
            <x14:dxf>
              <font>
                <b/>
                <i val="0"/>
                <color rgb="FFFF0000"/>
              </font>
            </x14:dxf>
          </x14:cfRule>
          <xm:sqref>L12</xm:sqref>
        </x14:conditionalFormatting>
        <x14:conditionalFormatting xmlns:xm="http://schemas.microsoft.com/office/excel/2006/main">
          <x14:cfRule type="expression" priority="7" id="{DA50B535-B6B5-4DFB-9CBC-C505A48C7EB5}">
            <xm:f>'Variable Mgmt'!$B$52=TRUE</xm:f>
            <x14:dxf>
              <font>
                <color theme="0"/>
              </font>
              <fill>
                <patternFill>
                  <bgColor theme="0"/>
                </patternFill>
              </fill>
            </x14:dxf>
          </x14:cfRule>
          <xm:sqref>L10</xm:sqref>
        </x14:conditionalFormatting>
        <x14:conditionalFormatting xmlns:xm="http://schemas.microsoft.com/office/excel/2006/main">
          <x14:cfRule type="expression" priority="6" id="{FB76FAF3-E114-4E5D-9585-0FED8547CF75}">
            <xm:f>'Variable Mgmt'!$D$38=TRUE</xm:f>
            <x14:dxf>
              <font>
                <color theme="0"/>
              </font>
              <fill>
                <patternFill patternType="solid">
                  <fgColor auto="1"/>
                  <bgColor rgb="FFFF0000"/>
                </patternFill>
              </fill>
            </x14:dxf>
          </x14:cfRule>
          <xm:sqref>L15:M15</xm:sqref>
        </x14:conditionalFormatting>
        <x14:conditionalFormatting xmlns:xm="http://schemas.microsoft.com/office/excel/2006/main">
          <x14:cfRule type="expression" priority="5" id="{2E35C64D-1122-4B17-B495-E52D781938E1}">
            <xm:f>'Variable Mgmt'!$D$61=TRUE</xm:f>
            <x14:dxf>
              <font>
                <strike val="0"/>
                <color theme="0"/>
              </font>
              <fill>
                <patternFill>
                  <bgColor rgb="FFFF0000"/>
                </patternFill>
              </fill>
            </x14:dxf>
          </x14:cfRule>
          <xm:sqref>L14:M14</xm:sqref>
        </x14:conditionalFormatting>
        <x14:conditionalFormatting xmlns:xm="http://schemas.microsoft.com/office/excel/2006/main">
          <x14:cfRule type="expression" priority="4" id="{7C67D9FD-52B5-4703-BBAF-09AA10A65712}">
            <xm:f>'Variable Mgmt'!$B$52=FALSE</xm:f>
            <x14:dxf>
              <font>
                <color theme="0"/>
              </font>
            </x14:dxf>
          </x14:cfRule>
          <xm:sqref>K16:M19</xm:sqref>
        </x14:conditionalFormatting>
        <x14:conditionalFormatting xmlns:xm="http://schemas.microsoft.com/office/excel/2006/main">
          <x14:cfRule type="expression" priority="1" id="{49974368-61CB-482A-8D0C-8A60E047767C}">
            <xm:f>'Variable Mgmt'!$B$76&gt;'Variable Mgmt'!$B$65*1000000</xm:f>
            <x14:dxf>
              <font>
                <color rgb="FFFF0000"/>
              </font>
            </x14:dxf>
          </x14:cfRule>
          <xm:sqref>L7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2:B7"/>
  <sheetViews>
    <sheetView zoomScaleNormal="100" workbookViewId="0">
      <selection activeCell="D7" sqref="D7"/>
    </sheetView>
  </sheetViews>
  <sheetFormatPr defaultRowHeight="12.75" x14ac:dyDescent="0.2"/>
  <cols>
    <col min="2" max="2" width="126.42578125" customWidth="1"/>
  </cols>
  <sheetData>
    <row r="2" spans="1:2" ht="17.25" customHeight="1" x14ac:dyDescent="0.2">
      <c r="A2" s="77" t="str">
        <f>CHOOSE(MODE, "Fsw_SINGLE", "Fsw_DUAL")</f>
        <v>Fsw_SINGLE</v>
      </c>
    </row>
    <row r="5" spans="1:2" ht="409.5" customHeight="1" x14ac:dyDescent="0.2">
      <c r="B5" s="364"/>
    </row>
    <row r="6" spans="1:2" ht="17.100000000000001" customHeight="1" x14ac:dyDescent="0.2"/>
    <row r="7" spans="1:2" ht="409.5" customHeight="1" x14ac:dyDescent="0.2">
      <c r="B7" s="364"/>
    </row>
  </sheetData>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2:T67"/>
  <sheetViews>
    <sheetView topLeftCell="C8" zoomScaleNormal="100" zoomScaleSheetLayoutView="145" workbookViewId="0">
      <selection activeCell="H21" sqref="H21"/>
    </sheetView>
  </sheetViews>
  <sheetFormatPr defaultRowHeight="12.75" x14ac:dyDescent="0.2"/>
  <cols>
    <col min="1" max="1" width="12.7109375" style="364" customWidth="1"/>
    <col min="2" max="2" width="124.7109375" style="12" customWidth="1"/>
    <col min="3" max="4" width="9.140625" style="364"/>
    <col min="5" max="5" width="124.7109375" style="8" customWidth="1"/>
    <col min="8" max="8" width="124.7109375" style="365" customWidth="1"/>
  </cols>
  <sheetData>
    <row r="2" spans="1:15" x14ac:dyDescent="0.2">
      <c r="A2" s="364" t="str">
        <f>'Variable Mgmt'!K44</f>
        <v>SCH_SINGLE_UVLOadj_SSadj_TCyes</v>
      </c>
    </row>
    <row r="5" spans="1:15" s="364" customFormat="1" ht="13.5" customHeight="1" x14ac:dyDescent="0.2">
      <c r="E5" s="365"/>
      <c r="H5" s="365"/>
    </row>
    <row r="6" spans="1:15" s="364" customFormat="1" ht="16.5" customHeight="1" x14ac:dyDescent="0.2">
      <c r="E6" s="365"/>
      <c r="H6" s="365"/>
    </row>
    <row r="7" spans="1:15" ht="357" customHeight="1" x14ac:dyDescent="0.2">
      <c r="B7" s="13"/>
      <c r="E7" s="392"/>
      <c r="F7" s="12"/>
      <c r="G7" s="12"/>
      <c r="I7" s="12"/>
      <c r="J7" s="12"/>
      <c r="K7" s="12"/>
      <c r="L7" s="12"/>
      <c r="M7" s="12"/>
      <c r="N7" s="12"/>
    </row>
    <row r="8" spans="1:15" s="364" customFormat="1" ht="17.25" customHeight="1" x14ac:dyDescent="0.2">
      <c r="B8" s="365"/>
      <c r="E8" s="365"/>
      <c r="H8" s="365"/>
      <c r="O8" s="366"/>
    </row>
    <row r="9" spans="1:15" ht="357" customHeight="1" x14ac:dyDescent="0.2">
      <c r="B9" s="112"/>
      <c r="D9" s="365"/>
      <c r="E9" s="392"/>
      <c r="F9" s="364"/>
      <c r="G9" s="12"/>
      <c r="I9" s="12"/>
      <c r="J9" s="12"/>
      <c r="K9" s="12"/>
      <c r="L9" s="12"/>
      <c r="M9" s="12"/>
      <c r="N9" s="12"/>
      <c r="O9" s="367"/>
    </row>
    <row r="10" spans="1:15" s="364" customFormat="1" x14ac:dyDescent="0.2">
      <c r="E10" s="365"/>
      <c r="H10" s="365"/>
    </row>
    <row r="11" spans="1:15" ht="357" customHeight="1" x14ac:dyDescent="0.2">
      <c r="B11" s="392"/>
      <c r="D11" s="365"/>
      <c r="E11" s="365"/>
      <c r="F11" s="364"/>
      <c r="G11" s="12"/>
      <c r="I11" s="12"/>
      <c r="J11" s="12"/>
      <c r="K11" s="12"/>
      <c r="L11" s="12"/>
      <c r="M11" s="12"/>
      <c r="N11" s="12"/>
      <c r="O11" s="367"/>
    </row>
    <row r="12" spans="1:15" x14ac:dyDescent="0.2">
      <c r="B12" s="364"/>
      <c r="E12" s="365"/>
      <c r="F12" s="364"/>
      <c r="G12" s="12"/>
      <c r="I12" s="12"/>
      <c r="J12" s="12"/>
      <c r="K12" s="12"/>
      <c r="L12" s="12"/>
      <c r="M12" s="12"/>
      <c r="N12" s="12"/>
    </row>
    <row r="13" spans="1:15" ht="357" customHeight="1" x14ac:dyDescent="0.2">
      <c r="B13" s="392"/>
      <c r="E13" s="365"/>
      <c r="F13" s="364"/>
      <c r="G13" s="12"/>
      <c r="I13" s="12"/>
      <c r="J13" s="12"/>
      <c r="K13" s="12"/>
      <c r="L13" s="12"/>
      <c r="M13" s="12"/>
      <c r="N13" s="12"/>
      <c r="O13" s="367"/>
    </row>
    <row r="14" spans="1:15" x14ac:dyDescent="0.2">
      <c r="B14" s="364"/>
      <c r="E14" s="365"/>
      <c r="F14" s="364"/>
      <c r="G14" s="12"/>
      <c r="I14" s="12"/>
      <c r="J14" s="12"/>
      <c r="K14" s="12"/>
      <c r="L14" s="12"/>
      <c r="M14" s="12"/>
      <c r="N14" s="12"/>
    </row>
    <row r="15" spans="1:15" ht="357" customHeight="1" x14ac:dyDescent="0.2">
      <c r="E15" s="365"/>
      <c r="F15" s="364"/>
      <c r="G15" s="12"/>
      <c r="I15" s="12"/>
      <c r="J15" s="12"/>
      <c r="K15" s="12"/>
      <c r="L15" s="12"/>
      <c r="M15" s="12"/>
      <c r="N15" s="12"/>
      <c r="O15" s="367"/>
    </row>
    <row r="16" spans="1:15" x14ac:dyDescent="0.2">
      <c r="B16" s="364"/>
      <c r="E16" s="365"/>
      <c r="F16" s="12"/>
      <c r="G16" s="12"/>
      <c r="I16" s="12"/>
      <c r="J16" s="12"/>
      <c r="K16" s="12"/>
      <c r="L16" s="12"/>
      <c r="M16" s="12"/>
      <c r="N16" s="12"/>
    </row>
    <row r="17" spans="2:15" ht="357" customHeight="1" x14ac:dyDescent="0.2">
      <c r="B17" s="392"/>
      <c r="E17" s="365"/>
      <c r="F17" s="364"/>
      <c r="G17" s="12"/>
      <c r="I17" s="12"/>
      <c r="J17" s="12"/>
      <c r="K17" s="12"/>
      <c r="L17" s="12"/>
      <c r="M17" s="12"/>
      <c r="N17" s="12"/>
      <c r="O17" s="367"/>
    </row>
    <row r="18" spans="2:15" ht="12" customHeight="1" x14ac:dyDescent="0.2">
      <c r="B18" s="364"/>
      <c r="E18" s="365"/>
      <c r="F18" s="12"/>
      <c r="G18" s="12"/>
      <c r="I18" s="12"/>
      <c r="J18" s="12"/>
      <c r="K18" s="12"/>
      <c r="L18" s="12"/>
      <c r="M18" s="12"/>
      <c r="N18" s="12"/>
    </row>
    <row r="19" spans="2:15" ht="357" customHeight="1" x14ac:dyDescent="0.2">
      <c r="B19" s="364"/>
      <c r="E19" s="365"/>
      <c r="F19" s="12"/>
      <c r="G19" s="12"/>
      <c r="I19" s="12"/>
      <c r="J19" s="12"/>
      <c r="K19" s="12"/>
      <c r="L19" s="12"/>
      <c r="M19" s="12"/>
      <c r="N19" s="12"/>
    </row>
    <row r="20" spans="2:15" ht="13.5" customHeight="1" x14ac:dyDescent="0.2">
      <c r="B20" s="364"/>
      <c r="E20" s="365"/>
      <c r="F20" s="12"/>
      <c r="G20" s="12"/>
      <c r="I20" s="12"/>
      <c r="J20" s="12"/>
      <c r="K20" s="12"/>
      <c r="L20" s="12"/>
      <c r="M20" s="12"/>
      <c r="N20" s="12"/>
    </row>
    <row r="21" spans="2:15" ht="357" customHeight="1" x14ac:dyDescent="0.2">
      <c r="B21" s="364"/>
      <c r="E21" s="365"/>
      <c r="F21" s="12"/>
      <c r="G21" s="12"/>
      <c r="I21" s="12"/>
      <c r="J21" s="12"/>
      <c r="K21" s="12"/>
      <c r="L21" s="12"/>
      <c r="M21" s="12"/>
      <c r="N21" s="12"/>
    </row>
    <row r="22" spans="2:15" x14ac:dyDescent="0.2">
      <c r="B22" s="364"/>
      <c r="E22" s="365"/>
      <c r="F22" s="12"/>
      <c r="G22" s="12"/>
      <c r="I22" s="12"/>
      <c r="J22" s="12"/>
      <c r="K22" s="12"/>
      <c r="L22" s="12"/>
      <c r="M22" s="12"/>
      <c r="N22" s="12"/>
    </row>
    <row r="23" spans="2:15" ht="357" customHeight="1" x14ac:dyDescent="0.2">
      <c r="B23" s="364"/>
      <c r="E23" s="365"/>
      <c r="F23" s="12"/>
      <c r="G23" s="12"/>
      <c r="I23" s="12"/>
      <c r="J23" s="12"/>
      <c r="K23" s="12"/>
      <c r="L23" s="12"/>
      <c r="M23" s="12"/>
      <c r="N23" s="12"/>
    </row>
    <row r="24" spans="2:15" x14ac:dyDescent="0.2">
      <c r="B24" s="364"/>
      <c r="E24" s="365"/>
      <c r="F24" s="12"/>
      <c r="G24" s="12"/>
      <c r="I24" s="12"/>
      <c r="J24" s="12"/>
      <c r="K24" s="12"/>
      <c r="L24" s="12"/>
      <c r="M24" s="12"/>
      <c r="N24" s="12"/>
    </row>
    <row r="25" spans="2:15" ht="327.75" customHeight="1" x14ac:dyDescent="0.2">
      <c r="B25" s="364"/>
      <c r="E25" s="365"/>
      <c r="F25" s="12"/>
      <c r="G25" s="12"/>
      <c r="I25" s="12"/>
      <c r="J25" s="12"/>
      <c r="K25" s="12"/>
      <c r="L25" s="12"/>
      <c r="M25" s="12"/>
      <c r="N25" s="12"/>
    </row>
    <row r="26" spans="2:15" x14ac:dyDescent="0.2">
      <c r="E26" s="365"/>
      <c r="F26" s="12"/>
      <c r="G26" s="12"/>
      <c r="I26" s="12"/>
      <c r="J26" s="12"/>
      <c r="K26" s="12"/>
      <c r="L26" s="12"/>
      <c r="M26" s="12"/>
      <c r="N26" s="12"/>
    </row>
    <row r="27" spans="2:15" ht="327.60000000000002" customHeight="1" x14ac:dyDescent="0.2">
      <c r="B27" s="364"/>
      <c r="E27" s="365"/>
      <c r="F27" s="12"/>
      <c r="G27" s="12"/>
      <c r="I27" s="12"/>
      <c r="J27" s="12"/>
      <c r="K27" s="12"/>
      <c r="L27" s="12"/>
      <c r="M27" s="12"/>
      <c r="N27" s="12"/>
    </row>
    <row r="28" spans="2:15" x14ac:dyDescent="0.2">
      <c r="B28" s="364"/>
      <c r="E28" s="365"/>
      <c r="F28" s="12"/>
      <c r="G28" s="12"/>
      <c r="I28" s="12"/>
      <c r="J28" s="12"/>
      <c r="K28" s="12"/>
      <c r="L28" s="12"/>
      <c r="M28" s="12"/>
      <c r="N28" s="12"/>
    </row>
    <row r="29" spans="2:15" ht="327.75" customHeight="1" x14ac:dyDescent="0.2">
      <c r="B29" s="364"/>
      <c r="E29" s="365"/>
      <c r="F29" s="12"/>
      <c r="G29" s="12"/>
      <c r="I29" s="12"/>
      <c r="J29" s="12"/>
      <c r="K29" s="12"/>
      <c r="L29" s="12"/>
      <c r="M29" s="12"/>
      <c r="N29" s="12"/>
    </row>
    <row r="30" spans="2:15" ht="13.5" customHeight="1" x14ac:dyDescent="0.2">
      <c r="B30" s="364"/>
      <c r="E30" s="365"/>
      <c r="F30" s="12"/>
      <c r="G30" s="12"/>
      <c r="I30" s="12"/>
      <c r="J30" s="12"/>
      <c r="K30" s="12"/>
      <c r="L30" s="12"/>
      <c r="M30" s="12"/>
      <c r="N30" s="12"/>
    </row>
    <row r="31" spans="2:15" ht="327.75" customHeight="1" x14ac:dyDescent="0.2">
      <c r="B31" s="364"/>
      <c r="E31" s="365"/>
      <c r="F31" s="12"/>
      <c r="G31" s="12"/>
      <c r="I31" s="12"/>
      <c r="J31" s="12"/>
      <c r="K31" s="12"/>
      <c r="L31" s="12"/>
      <c r="M31" s="12"/>
      <c r="N31" s="12"/>
    </row>
    <row r="32" spans="2:15" ht="13.5" customHeight="1" x14ac:dyDescent="0.2">
      <c r="B32" s="364"/>
      <c r="E32" s="365"/>
      <c r="F32" s="12"/>
      <c r="G32" s="12"/>
      <c r="I32" s="12"/>
      <c r="J32" s="12"/>
      <c r="K32" s="12"/>
      <c r="L32" s="12"/>
      <c r="M32" s="12"/>
      <c r="N32" s="12"/>
    </row>
    <row r="33" spans="2:20" ht="327.75" customHeight="1" x14ac:dyDescent="0.2">
      <c r="B33" s="364"/>
      <c r="E33" s="365"/>
      <c r="F33" s="12"/>
      <c r="G33" s="12"/>
      <c r="I33" s="12"/>
      <c r="J33" s="12"/>
      <c r="K33" s="12"/>
      <c r="L33" s="12"/>
      <c r="M33" s="12"/>
      <c r="N33" s="12"/>
    </row>
    <row r="34" spans="2:20" ht="13.5" customHeight="1" x14ac:dyDescent="0.2">
      <c r="B34" s="364"/>
      <c r="E34" s="365"/>
      <c r="F34" s="12"/>
      <c r="G34" s="12"/>
      <c r="I34" s="12"/>
      <c r="J34" s="12"/>
      <c r="K34" s="12"/>
      <c r="L34" s="12"/>
      <c r="M34" s="12"/>
      <c r="N34" s="12"/>
    </row>
    <row r="35" spans="2:20" ht="327.60000000000002" customHeight="1" x14ac:dyDescent="0.2">
      <c r="B35" s="364"/>
      <c r="E35" s="365"/>
      <c r="F35" s="12"/>
      <c r="G35" s="12"/>
      <c r="I35" s="12"/>
      <c r="J35" s="12"/>
      <c r="K35" s="12"/>
      <c r="L35" s="12"/>
      <c r="M35" s="12"/>
      <c r="N35" s="12"/>
    </row>
    <row r="36" spans="2:20" ht="13.5" customHeight="1" x14ac:dyDescent="0.2">
      <c r="B36" s="364"/>
      <c r="E36" s="365"/>
      <c r="F36" s="12"/>
      <c r="G36" s="12"/>
      <c r="I36" s="12"/>
      <c r="J36" s="12"/>
      <c r="K36" s="12"/>
      <c r="L36" s="12"/>
      <c r="M36" s="12"/>
      <c r="N36" s="12"/>
    </row>
    <row r="37" spans="2:20" ht="327.75" customHeight="1" x14ac:dyDescent="0.2">
      <c r="B37" s="364"/>
      <c r="E37" s="365"/>
      <c r="F37" s="12"/>
      <c r="G37" s="12"/>
      <c r="I37" s="12"/>
      <c r="J37" s="12"/>
      <c r="K37" s="12"/>
      <c r="L37" s="12"/>
      <c r="M37" s="12"/>
      <c r="N37" s="12"/>
    </row>
    <row r="38" spans="2:20" ht="13.5" customHeight="1" x14ac:dyDescent="0.35">
      <c r="B38" s="364"/>
      <c r="E38" s="365"/>
      <c r="F38" s="12"/>
      <c r="G38" s="368"/>
      <c r="I38" s="369"/>
      <c r="J38" s="12"/>
      <c r="K38" s="12"/>
      <c r="L38" s="12"/>
      <c r="M38" s="12"/>
      <c r="N38" s="12"/>
    </row>
    <row r="39" spans="2:20" ht="327.75" customHeight="1" x14ac:dyDescent="0.2">
      <c r="B39" s="364"/>
      <c r="E39" s="365"/>
      <c r="F39" s="12"/>
      <c r="G39" s="12"/>
      <c r="I39" s="369"/>
      <c r="J39" s="12"/>
      <c r="K39" s="12"/>
      <c r="L39" s="12"/>
      <c r="M39" s="12"/>
      <c r="N39" s="12"/>
    </row>
    <row r="40" spans="2:20" x14ac:dyDescent="0.2">
      <c r="B40" s="364"/>
      <c r="E40" s="365"/>
      <c r="F40" s="12"/>
      <c r="G40" s="12"/>
      <c r="I40" s="12"/>
      <c r="J40" s="12"/>
      <c r="K40" s="12"/>
      <c r="L40" s="12"/>
      <c r="M40" s="12"/>
      <c r="N40" s="12"/>
      <c r="O40" s="12"/>
      <c r="P40" s="12"/>
      <c r="Q40" s="14"/>
      <c r="S40" s="370"/>
      <c r="T40" s="370"/>
    </row>
    <row r="41" spans="2:20" ht="327.75" customHeight="1" x14ac:dyDescent="0.2">
      <c r="B41" s="364"/>
      <c r="E41" s="365"/>
      <c r="F41" s="12"/>
      <c r="G41" s="12"/>
      <c r="I41" s="12"/>
      <c r="J41" s="12"/>
      <c r="K41" s="12"/>
      <c r="L41" s="12"/>
      <c r="M41" s="12"/>
      <c r="N41" s="12"/>
      <c r="O41" s="12"/>
      <c r="P41" s="12"/>
      <c r="Q41" s="14"/>
      <c r="S41" s="370"/>
    </row>
    <row r="42" spans="2:20" x14ac:dyDescent="0.2">
      <c r="B42" s="364"/>
      <c r="E42" s="365"/>
      <c r="F42" s="12"/>
      <c r="G42" s="12"/>
      <c r="I42" s="12"/>
      <c r="J42" s="12"/>
      <c r="K42" s="12"/>
      <c r="L42" s="12"/>
      <c r="M42" s="12"/>
      <c r="N42" s="12"/>
      <c r="O42" s="12"/>
      <c r="P42" s="12"/>
      <c r="Q42" s="14"/>
      <c r="S42" s="370"/>
    </row>
    <row r="43" spans="2:20" ht="327.75" customHeight="1" x14ac:dyDescent="0.2">
      <c r="B43" s="364"/>
      <c r="E43" s="365"/>
      <c r="F43" s="12"/>
      <c r="G43" s="12"/>
      <c r="I43" s="12"/>
      <c r="J43" s="12"/>
      <c r="K43" s="12"/>
      <c r="L43" s="12"/>
      <c r="M43" s="12"/>
      <c r="N43" s="12"/>
      <c r="O43" s="12"/>
      <c r="P43" s="12"/>
      <c r="Q43" s="14"/>
      <c r="S43" s="370"/>
    </row>
    <row r="44" spans="2:20" x14ac:dyDescent="0.2">
      <c r="B44" s="364"/>
      <c r="E44" s="365"/>
      <c r="F44" s="12"/>
      <c r="G44" s="12"/>
      <c r="I44" s="12"/>
      <c r="J44" s="12"/>
      <c r="K44" s="12"/>
      <c r="L44" s="12"/>
      <c r="M44" s="12"/>
      <c r="N44" s="12"/>
      <c r="O44" s="12"/>
      <c r="P44" s="12"/>
      <c r="Q44" s="14"/>
      <c r="S44" s="370"/>
    </row>
    <row r="45" spans="2:20" ht="327.75" customHeight="1" x14ac:dyDescent="0.2">
      <c r="B45" s="364"/>
      <c r="E45" s="365"/>
      <c r="F45" s="12"/>
      <c r="G45" s="12"/>
      <c r="I45" s="12"/>
      <c r="J45" s="12"/>
      <c r="K45" s="12"/>
      <c r="L45" s="12"/>
      <c r="M45" s="12"/>
      <c r="N45" s="12"/>
      <c r="O45" s="12"/>
      <c r="P45" s="12"/>
      <c r="Q45" s="14"/>
      <c r="S45" s="370"/>
    </row>
    <row r="46" spans="2:20" x14ac:dyDescent="0.2">
      <c r="B46" s="364"/>
      <c r="E46" s="365"/>
      <c r="F46" s="12"/>
      <c r="G46" s="12"/>
      <c r="I46" s="12"/>
      <c r="J46" s="12"/>
      <c r="K46" s="12"/>
      <c r="L46" s="12"/>
      <c r="M46" s="12"/>
      <c r="N46" s="12"/>
      <c r="O46" s="12"/>
      <c r="P46" s="12"/>
      <c r="Q46" s="14"/>
      <c r="S46" s="370"/>
    </row>
    <row r="47" spans="2:20" ht="327.75" customHeight="1" x14ac:dyDescent="0.2">
      <c r="B47" s="364"/>
      <c r="E47" s="365"/>
      <c r="F47" s="12"/>
      <c r="G47" s="12"/>
      <c r="I47" s="12"/>
      <c r="J47" s="12"/>
      <c r="K47" s="12"/>
      <c r="L47" s="12"/>
      <c r="M47" s="12"/>
      <c r="N47" s="12"/>
      <c r="O47" s="12"/>
      <c r="P47" s="12"/>
      <c r="Q47" s="14"/>
      <c r="S47" s="371"/>
    </row>
    <row r="48" spans="2:20" x14ac:dyDescent="0.2">
      <c r="B48" s="364"/>
      <c r="E48" s="365"/>
      <c r="F48" s="12"/>
      <c r="G48" s="12"/>
      <c r="I48" s="12"/>
      <c r="J48" s="12"/>
      <c r="K48" s="12"/>
      <c r="L48" s="12"/>
      <c r="M48" s="12"/>
      <c r="N48" s="12"/>
      <c r="O48" s="12"/>
      <c r="P48" s="12"/>
      <c r="Q48" s="14"/>
      <c r="S48" s="370"/>
    </row>
    <row r="49" spans="2:19" ht="327.75" customHeight="1" x14ac:dyDescent="0.2">
      <c r="B49" s="364"/>
      <c r="E49" s="365"/>
      <c r="F49" s="12"/>
      <c r="G49" s="12"/>
      <c r="I49" s="12"/>
      <c r="J49" s="12"/>
      <c r="K49" s="12"/>
      <c r="L49" s="12"/>
      <c r="M49" s="12"/>
      <c r="N49" s="12"/>
      <c r="O49" s="12"/>
      <c r="P49" s="12"/>
      <c r="Q49" s="14"/>
      <c r="S49" s="370"/>
    </row>
    <row r="50" spans="2:19" x14ac:dyDescent="0.2">
      <c r="B50" s="364"/>
      <c r="E50" s="365"/>
      <c r="F50" s="12"/>
      <c r="G50" s="12"/>
      <c r="I50" s="12"/>
      <c r="J50" s="12"/>
      <c r="K50" s="12"/>
      <c r="L50" s="12"/>
      <c r="M50" s="12"/>
      <c r="N50" s="12"/>
      <c r="O50" s="12"/>
      <c r="P50" s="12"/>
      <c r="Q50" s="14"/>
      <c r="S50" s="370"/>
    </row>
    <row r="51" spans="2:19" x14ac:dyDescent="0.2">
      <c r="B51" s="364"/>
      <c r="E51" s="365"/>
      <c r="F51" s="12"/>
      <c r="G51" s="12"/>
      <c r="I51" s="12"/>
      <c r="J51" s="12"/>
      <c r="K51" s="12"/>
      <c r="L51" s="12"/>
      <c r="M51" s="12"/>
      <c r="N51" s="12"/>
      <c r="O51" s="12"/>
      <c r="P51" s="12"/>
      <c r="Q51" s="14"/>
      <c r="S51" s="370"/>
    </row>
    <row r="52" spans="2:19" x14ac:dyDescent="0.2">
      <c r="B52" s="364"/>
      <c r="E52" s="365"/>
      <c r="F52" s="12"/>
      <c r="G52" s="12"/>
      <c r="I52" s="12"/>
      <c r="J52" s="12"/>
      <c r="K52" s="12"/>
      <c r="L52" s="12"/>
      <c r="M52" s="12"/>
      <c r="N52" s="12"/>
      <c r="O52" s="12"/>
      <c r="P52" s="12"/>
      <c r="Q52" s="14"/>
      <c r="S52" s="370"/>
    </row>
    <row r="53" spans="2:19" x14ac:dyDescent="0.2">
      <c r="B53" s="364"/>
      <c r="E53" s="365"/>
      <c r="F53" s="12"/>
      <c r="G53" s="12"/>
      <c r="I53" s="12"/>
      <c r="J53" s="12"/>
      <c r="K53" s="12"/>
      <c r="L53" s="12"/>
      <c r="M53" s="12"/>
      <c r="N53" s="12"/>
    </row>
    <row r="54" spans="2:19" x14ac:dyDescent="0.2">
      <c r="B54" s="364"/>
      <c r="E54" s="365"/>
      <c r="F54" s="12"/>
      <c r="G54" s="12"/>
      <c r="I54" s="12"/>
      <c r="J54" s="12"/>
      <c r="K54" s="12"/>
      <c r="L54" s="12"/>
      <c r="M54" s="12"/>
      <c r="N54" s="12"/>
    </row>
    <row r="55" spans="2:19" x14ac:dyDescent="0.2">
      <c r="B55" s="364"/>
      <c r="E55" s="365"/>
      <c r="F55" s="12"/>
      <c r="G55" s="12"/>
      <c r="I55" s="12"/>
      <c r="J55" s="12"/>
      <c r="K55" s="12"/>
      <c r="L55" s="12"/>
      <c r="M55" s="12"/>
      <c r="N55" s="12"/>
      <c r="R55" s="15"/>
    </row>
    <row r="56" spans="2:19" x14ac:dyDescent="0.2">
      <c r="B56" s="364"/>
      <c r="E56" s="365"/>
      <c r="F56" s="12"/>
      <c r="G56" s="12"/>
      <c r="I56" s="12"/>
      <c r="J56" s="12"/>
      <c r="K56" s="12"/>
      <c r="L56" s="12"/>
      <c r="M56" s="12"/>
      <c r="N56" s="12"/>
    </row>
    <row r="57" spans="2:19" x14ac:dyDescent="0.2">
      <c r="B57" s="364"/>
      <c r="E57" s="365"/>
      <c r="F57" s="12"/>
      <c r="G57" s="12"/>
      <c r="I57" s="12"/>
      <c r="J57" s="12"/>
      <c r="K57" s="12"/>
      <c r="L57" s="12"/>
      <c r="M57" s="12"/>
      <c r="N57" s="12"/>
    </row>
    <row r="58" spans="2:19" x14ac:dyDescent="0.2">
      <c r="E58" s="13"/>
      <c r="F58" s="12"/>
      <c r="G58" s="12"/>
      <c r="I58" s="12"/>
      <c r="J58" s="12"/>
      <c r="K58" s="12"/>
      <c r="L58" s="12"/>
      <c r="M58" s="12"/>
      <c r="N58" s="12"/>
    </row>
    <row r="59" spans="2:19" x14ac:dyDescent="0.2">
      <c r="E59" s="13"/>
      <c r="F59" s="12"/>
      <c r="G59" s="12"/>
      <c r="I59" s="12"/>
      <c r="J59" s="12"/>
      <c r="K59" s="12"/>
      <c r="L59" s="12"/>
      <c r="M59" s="12"/>
      <c r="N59" s="12"/>
    </row>
    <row r="60" spans="2:19" x14ac:dyDescent="0.2">
      <c r="E60" s="13"/>
      <c r="F60" s="12"/>
      <c r="G60" s="12"/>
      <c r="I60" s="12"/>
      <c r="J60" s="12"/>
      <c r="K60" s="12"/>
      <c r="L60" s="12"/>
      <c r="M60" s="12"/>
      <c r="N60" s="12"/>
    </row>
    <row r="61" spans="2:19" x14ac:dyDescent="0.2">
      <c r="E61" s="13"/>
      <c r="F61" s="12"/>
      <c r="G61" s="12"/>
      <c r="I61" s="12"/>
      <c r="J61" s="12"/>
      <c r="K61" s="12"/>
      <c r="L61" s="12"/>
      <c r="M61" s="12"/>
      <c r="N61" s="12"/>
    </row>
    <row r="62" spans="2:19" x14ac:dyDescent="0.2">
      <c r="E62" s="13"/>
      <c r="F62" s="12"/>
      <c r="G62" s="12"/>
      <c r="I62" s="12"/>
      <c r="J62" s="12"/>
      <c r="K62" s="12"/>
      <c r="L62" s="12"/>
      <c r="M62" s="12"/>
      <c r="N62" s="12"/>
    </row>
    <row r="63" spans="2:19" x14ac:dyDescent="0.2">
      <c r="E63" s="13"/>
      <c r="F63" s="12"/>
      <c r="G63" s="12"/>
      <c r="I63" s="12"/>
      <c r="J63" s="12"/>
      <c r="K63" s="12"/>
      <c r="L63" s="12"/>
      <c r="M63" s="12"/>
      <c r="N63" s="12"/>
    </row>
    <row r="64" spans="2:19" x14ac:dyDescent="0.2">
      <c r="E64" s="13"/>
      <c r="F64" s="12"/>
      <c r="G64" s="12"/>
      <c r="I64" s="12"/>
      <c r="J64" s="12"/>
      <c r="K64" s="12"/>
      <c r="L64" s="12"/>
      <c r="M64" s="12"/>
      <c r="N64" s="12"/>
    </row>
    <row r="65" spans="5:18" x14ac:dyDescent="0.2">
      <c r="E65" s="13"/>
      <c r="F65" s="12"/>
      <c r="G65" s="12"/>
      <c r="I65" s="12"/>
      <c r="J65" s="12"/>
      <c r="K65" s="12"/>
      <c r="L65" s="12"/>
      <c r="M65" s="12"/>
      <c r="N65" s="12"/>
    </row>
    <row r="66" spans="5:18" x14ac:dyDescent="0.2">
      <c r="E66" s="13"/>
      <c r="F66" s="12"/>
      <c r="G66" s="12"/>
      <c r="I66" s="12"/>
      <c r="J66" s="12"/>
      <c r="K66" s="12"/>
      <c r="L66" s="12"/>
      <c r="M66" s="12"/>
      <c r="N66" s="12"/>
      <c r="R66" s="15"/>
    </row>
    <row r="67" spans="5:18" x14ac:dyDescent="0.2">
      <c r="E67" s="13"/>
      <c r="F67" s="12"/>
      <c r="G67" s="12"/>
      <c r="I67" s="12"/>
      <c r="J67" s="12"/>
      <c r="K67" s="12"/>
      <c r="L67" s="12"/>
      <c r="M67" s="12"/>
      <c r="N67" s="12"/>
    </row>
  </sheetData>
  <conditionalFormatting sqref="O6">
    <cfRule type="cellIs" dxfId="48" priority="1" stopIfTrue="1" operator="equal">
      <formula>"n"</formula>
    </cfRule>
  </conditionalFormatting>
  <pageMargins left="0.75" right="0.75" top="1" bottom="1" header="0.5" footer="0.5"/>
  <pageSetup scale="8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K159"/>
  <sheetViews>
    <sheetView workbookViewId="0">
      <selection activeCell="I10" sqref="I10"/>
    </sheetView>
  </sheetViews>
  <sheetFormatPr defaultRowHeight="12.75" x14ac:dyDescent="0.2"/>
  <cols>
    <col min="1" max="1" width="17.28515625" customWidth="1"/>
    <col min="2" max="2" width="12" bestFit="1" customWidth="1"/>
    <col min="8" max="8" width="12.140625" customWidth="1"/>
    <col min="9" max="9" width="12.42578125" bestFit="1" customWidth="1"/>
    <col min="10" max="10" width="15.42578125" customWidth="1"/>
  </cols>
  <sheetData>
    <row r="2" spans="1:11" x14ac:dyDescent="0.2">
      <c r="A2" t="s">
        <v>68</v>
      </c>
      <c r="B2" t="s">
        <v>66</v>
      </c>
      <c r="C2" t="s">
        <v>14</v>
      </c>
      <c r="D2" t="s">
        <v>28</v>
      </c>
      <c r="E2" t="s">
        <v>75</v>
      </c>
    </row>
    <row r="3" spans="1:11" x14ac:dyDescent="0.2">
      <c r="A3" t="s">
        <v>71</v>
      </c>
      <c r="B3">
        <f>Css</f>
        <v>4.5000000000000006E-8</v>
      </c>
      <c r="C3">
        <f>Cout</f>
        <v>47</v>
      </c>
      <c r="D3">
        <f>Cin</f>
        <v>10</v>
      </c>
      <c r="E3">
        <f>Cb</f>
        <v>0</v>
      </c>
      <c r="H3" t="s">
        <v>73</v>
      </c>
      <c r="I3" t="s">
        <v>74</v>
      </c>
      <c r="J3" s="4" t="s">
        <v>70</v>
      </c>
    </row>
    <row r="4" spans="1:11" x14ac:dyDescent="0.2">
      <c r="A4" s="7" t="s">
        <v>70</v>
      </c>
      <c r="B4" s="7">
        <f>SUM(B6:B158)/1000000000000</f>
        <v>4.6999999999999997E-8</v>
      </c>
      <c r="C4" s="7">
        <f>SUM(C6:C158)/1000000000000</f>
        <v>0</v>
      </c>
      <c r="D4" s="7">
        <f>SUM(D6:D158)/1000000000000</f>
        <v>0</v>
      </c>
      <c r="E4" s="7">
        <f t="shared" ref="E4" si="0">IF(E3="OPEN","OPEN",SUM(E6:E158)/1000000000000)</f>
        <v>0</v>
      </c>
      <c r="H4" s="77" t="s">
        <v>139</v>
      </c>
      <c r="I4" t="e">
        <f>Rt</f>
        <v>#NAME?</v>
      </c>
      <c r="J4" s="4" t="e">
        <f t="shared" ref="J4:J9" si="1">IF(I4&gt;(INT(0.5+100*POWER(10,IF(96*(LOG(I4)-INT(LOG(I4)))-ROUND(96*(LOG(I4)-INT(LOG(I4))),0)&lt;0,ROUND(96*(LOG(I4)-INT(LOG(I4))),0)-1,ROUND(96*(LOG(I4)-INT(LOG(I4))),0))/96))*POWER(10,INT(LOG(I4))-2)+INT(0.5+100*POWER(10,(IF(96*(LOG(I4)-INT(LOG(I4)))-ROUND(96*(LOG(I4)-INT(LOG(I4))),0)&lt;0,ROUND(96*(LOG(I4)-INT(LOG(I4))),0)-1,ROUND(96*(LOG(I4)-INT(LOG(I4))),0))+1)/96))*POWER(10,INT(LOG(I4))-2))/2,INT(0.5+100*POWER(10,(IF(96*(LOG(I4)-INT(LOG(I4)))-ROUND(96*(LOG(I4)-INT(LOG(I4))),0)&lt;0,ROUND(96*(LOG(I4)-INT(LOG(I4))),0)-1,ROUND(96*(LOG(I4)-INT(LOG(I4))),0))+1)/96))*POWER(10,INT(LOG(I4))-2),INT(0.5+100*POWER(10,IF(96*(LOG(I4)-INT(LOG(I4)))-ROUND(96*(LOG(I4)-INT(LOG(I4))),0)&lt;0,ROUND(96*(LOG(I4)-INT(LOG(I4))),0)-1,ROUND(96*(LOG(I4)-INT(LOG(I4))),0))/96))*POWER(10,INT(LOG(I4))-2))</f>
        <v>#NAME?</v>
      </c>
      <c r="K4" s="18" t="s">
        <v>136</v>
      </c>
    </row>
    <row r="5" spans="1:11" x14ac:dyDescent="0.2">
      <c r="A5" t="s">
        <v>69</v>
      </c>
      <c r="J5" s="4"/>
      <c r="K5" s="18"/>
    </row>
    <row r="6" spans="1:11" x14ac:dyDescent="0.2">
      <c r="A6">
        <v>0.47</v>
      </c>
      <c r="B6">
        <f t="shared" ref="B6:E6" si="2">IF(IF((B$3*10^12-$A7)*(B$3*10^12-$A6)*-1&lt;0,0,1)*IF(ABS(B$3*10^12-$A7)&gt;(B$3*10^12-$A6),$A6,$A7)=B7,0,IF((B$3*10^12-$A7)*(B$3*10^12-$A6)*-1&lt;0,0,1)*IF(ABS(B$3*10^12-$A7)&gt;(B$3*10^12-$A6),$A6,$A7))</f>
        <v>0</v>
      </c>
      <c r="C6">
        <f t="shared" si="2"/>
        <v>0</v>
      </c>
      <c r="D6">
        <f t="shared" si="2"/>
        <v>0</v>
      </c>
      <c r="E6">
        <f t="shared" si="2"/>
        <v>0</v>
      </c>
      <c r="H6" s="77" t="s">
        <v>163</v>
      </c>
      <c r="I6" t="e">
        <f>Rshunt</f>
        <v>#NAME?</v>
      </c>
      <c r="J6" s="4" t="e">
        <f t="shared" si="1"/>
        <v>#NAME?</v>
      </c>
      <c r="K6" s="18" t="s">
        <v>136</v>
      </c>
    </row>
    <row r="7" spans="1:11" x14ac:dyDescent="0.2">
      <c r="A7">
        <v>0.56000000000000005</v>
      </c>
      <c r="B7">
        <f t="shared" ref="B7:B70" si="3">IF(IF((B$3*10^12-$A8)*(B$3*10^12-$A7)*-1&lt;0,0,1)*IF(ABS(B$3*10^12-$A8)&gt;(B$3*10^12-$A7),$A7,$A8)=B8,0,IF((B$3*10^12-$A8)*(B$3*10^12-$A7)*-1&lt;0,0,1)*IF(ABS(B$3*10^12-$A8)&gt;(B$3*10^12-$A7),$A7,$A8))</f>
        <v>0</v>
      </c>
      <c r="C7">
        <f t="shared" ref="C7:C69" si="4">IF(IF((C$3*10^12-$A8)*(C$3*10^12-$A7)*-1&lt;0,0,1)*IF(ABS(C$3*10^12-$A8)&gt;(C$3*10^12-$A7),$A7,$A8)=C8,0,IF((C$3*10^12-$A8)*(C$3*10^12-$A7)*-1&lt;0,0,1)*IF(ABS(C$3*10^12-$A8)&gt;(C$3*10^12-$A7),$A7,$A8))</f>
        <v>0</v>
      </c>
      <c r="D7">
        <f t="shared" ref="D7:D69" si="5">IF(IF((D$3*10^12-$A8)*(D$3*10^12-$A7)*-1&lt;0,0,1)*IF(ABS(D$3*10^12-$A8)&gt;(D$3*10^12-$A7),$A7,$A8)=D8,0,IF((D$3*10^12-$A8)*(D$3*10^12-$A7)*-1&lt;0,0,1)*IF(ABS(D$3*10^12-$A8)&gt;(D$3*10^12-$A7),$A7,$A8))</f>
        <v>0</v>
      </c>
      <c r="E7">
        <f t="shared" ref="E7:E37" si="6">IF(IF((E$3*10^12-$A8)*(E$3*10^12-$A7)*-1&lt;0,0,1)*IF(ABS(E$3*10^12-$A8)&gt;(E$3*10^12-$A7),$A7,$A8)=E8,0,IF((E$3*10^12-$A8)*(E$3*10^12-$A7)*-1&lt;0,0,1)*IF(ABS(E$3*10^12-$A8)&gt;(E$3*10^12-$A7),$A7,$A8))</f>
        <v>0</v>
      </c>
      <c r="H7" t="s">
        <v>79</v>
      </c>
      <c r="I7" t="e">
        <f>Rcea1</f>
        <v>#NAME?</v>
      </c>
      <c r="J7" s="4" t="e">
        <f t="shared" si="1"/>
        <v>#NAME?</v>
      </c>
      <c r="K7" s="18" t="s">
        <v>136</v>
      </c>
    </row>
    <row r="8" spans="1:11" x14ac:dyDescent="0.2">
      <c r="A8">
        <v>0.68</v>
      </c>
      <c r="B8">
        <f t="shared" si="3"/>
        <v>0</v>
      </c>
      <c r="C8">
        <f t="shared" si="4"/>
        <v>0</v>
      </c>
      <c r="D8">
        <f t="shared" si="5"/>
        <v>0</v>
      </c>
      <c r="E8">
        <f t="shared" si="6"/>
        <v>0</v>
      </c>
      <c r="J8" s="4"/>
      <c r="K8" s="18"/>
    </row>
    <row r="9" spans="1:11" x14ac:dyDescent="0.2">
      <c r="A9">
        <v>0.82</v>
      </c>
      <c r="B9">
        <f t="shared" si="3"/>
        <v>0</v>
      </c>
      <c r="C9">
        <f t="shared" si="4"/>
        <v>0</v>
      </c>
      <c r="D9">
        <f t="shared" si="5"/>
        <v>0</v>
      </c>
      <c r="E9">
        <f t="shared" si="6"/>
        <v>0</v>
      </c>
      <c r="H9" t="s">
        <v>387</v>
      </c>
      <c r="I9">
        <f>RTC_1</f>
        <v>242000</v>
      </c>
      <c r="J9" s="4">
        <f t="shared" si="1"/>
        <v>243000</v>
      </c>
      <c r="K9" s="18" t="s">
        <v>136</v>
      </c>
    </row>
    <row r="10" spans="1:11" x14ac:dyDescent="0.2">
      <c r="A10">
        <v>1</v>
      </c>
      <c r="B10">
        <f t="shared" si="3"/>
        <v>0</v>
      </c>
      <c r="C10">
        <f t="shared" si="4"/>
        <v>0</v>
      </c>
      <c r="D10">
        <f t="shared" si="5"/>
        <v>0</v>
      </c>
      <c r="E10">
        <f t="shared" si="6"/>
        <v>0</v>
      </c>
      <c r="H10" t="s">
        <v>17</v>
      </c>
      <c r="I10">
        <f>Rfb</f>
        <v>121000</v>
      </c>
      <c r="J10" s="4">
        <f>IF(I10="OPEN","OPEN",IF(I10&gt;(INT(0.5+100*POWER(10,IF(96*(LOG(I10)-INT(LOG(I10)))-ROUND(96*(LOG(I10)-INT(LOG(I10))),0)&lt;0,ROUND(96*(LOG(I10)-INT(LOG(I10))),0)-1,ROUND(96*(LOG(I10)-INT(LOG(I10))),0))/96))*POWER(10,INT(LOG(I10))-2)+INT(0.5+100*POWER(10,(IF(96*(LOG(I10)-INT(LOG(I10)))-ROUND(96*(LOG(I10)-INT(LOG(I10))),0)&lt;0,ROUND(96*(LOG(I10)-INT(LOG(I10))),0)-1,ROUND(96*(LOG(I10)-INT(LOG(I10))),0))+1)/96))*POWER(10,INT(LOG(I10))-2))/2,INT(0.5+100*POWER(10,(IF(96*(LOG(I10)-INT(LOG(I10)))-ROUND(96*(LOG(I10)-INT(LOG(I10))),0)&lt;0,ROUND(96*(LOG(I10)-INT(LOG(I10))),0)-1,ROUND(96*(LOG(I10)-INT(LOG(I10))),0))+1)/96))*POWER(10,INT(LOG(I10))-2),INT(0.5+100*POWER(10,IF(96*(LOG(I10)-INT(LOG(I10)))-ROUND(96*(LOG(I10)-INT(LOG(I10))),0)&lt;0,ROUND(96*(LOG(I10)-INT(LOG(I10))),0)-1,ROUND(96*(LOG(I10)-INT(LOG(I10))),0))/96))*POWER(10,INT(LOG(I10))-2)))</f>
        <v>121000</v>
      </c>
      <c r="K10" s="18" t="s">
        <v>136</v>
      </c>
    </row>
    <row r="11" spans="1:11" x14ac:dyDescent="0.2">
      <c r="A11">
        <v>1.2</v>
      </c>
      <c r="B11">
        <f t="shared" si="3"/>
        <v>0</v>
      </c>
      <c r="C11">
        <f t="shared" si="4"/>
        <v>0</v>
      </c>
      <c r="D11">
        <f t="shared" si="5"/>
        <v>0</v>
      </c>
      <c r="E11">
        <f t="shared" si="6"/>
        <v>0</v>
      </c>
      <c r="J11" s="4"/>
    </row>
    <row r="12" spans="1:11" x14ac:dyDescent="0.2">
      <c r="A12">
        <v>1.5</v>
      </c>
      <c r="B12">
        <f t="shared" si="3"/>
        <v>0</v>
      </c>
      <c r="C12">
        <f t="shared" si="4"/>
        <v>0</v>
      </c>
      <c r="D12">
        <f t="shared" si="5"/>
        <v>0</v>
      </c>
      <c r="E12">
        <f t="shared" si="6"/>
        <v>0</v>
      </c>
      <c r="J12" s="4"/>
    </row>
    <row r="13" spans="1:11" x14ac:dyDescent="0.2">
      <c r="A13">
        <v>1.8</v>
      </c>
      <c r="B13">
        <f t="shared" si="3"/>
        <v>0</v>
      </c>
      <c r="C13">
        <f t="shared" si="4"/>
        <v>0</v>
      </c>
      <c r="D13">
        <f t="shared" si="5"/>
        <v>0</v>
      </c>
      <c r="E13">
        <f t="shared" si="6"/>
        <v>0</v>
      </c>
      <c r="H13" s="77" t="s">
        <v>76</v>
      </c>
      <c r="I13" t="e">
        <f>Rs_ideal*1000</f>
        <v>#NAME?</v>
      </c>
      <c r="J13" s="4" t="e">
        <f>IF(I13=0,0,IF(I13&gt;(INT(0.5+100*POWER(10,IF(96*(LOG(I13)-INT(LOG(I13)))-ROUND(96*(LOG(I13)-INT(LOG(I13))),0)&lt;0,ROUND(96*(LOG(I13)-INT(LOG(I13))),0)-1,ROUND(96*(LOG(I13)-INT(LOG(I13))),0))/96))*POWER(10,INT(LOG(I13))-2)+INT(0.5+100*POWER(10,(IF(96*(LOG(I13)-INT(LOG(I13)))-ROUND(96*(LOG(I13)-INT(LOG(I13))),0)&lt;0,ROUND(96*(LOG(I13)-INT(LOG(I13))),0)-1,ROUND(96*(LOG(I13)-INT(LOG(I13))),0))+1)/96))*POWER(10,INT(LOG(I13))-2))/2,INT(0.5+100*POWER(10,(IF(96*(LOG(I13)-INT(LOG(I13)))-ROUND(96*(LOG(I13)-INT(LOG(I13))),0)&lt;0,ROUND(96*(LOG(I13)-INT(LOG(I13))),0)-1,ROUND(96*(LOG(I13)-INT(LOG(I13))),0))+1)/96))*POWER(10,INT(LOG(I13))-2),INT(0.5+100*POWER(10,IF(96*(LOG(I13)-INT(LOG(I13)))-ROUND(96*(LOG(I13)-INT(LOG(I13))),0)&lt;0,ROUND(96*(LOG(I13)-INT(LOG(I13))),0)-1,ROUND(96*(LOG(I13)-INT(LOG(I13))),0))/96))*POWER(10,INT(LOG(I13))-2)))</f>
        <v>#NAME?</v>
      </c>
      <c r="K13" s="18" t="s">
        <v>162</v>
      </c>
    </row>
    <row r="14" spans="1:11" x14ac:dyDescent="0.2">
      <c r="A14">
        <v>2.2000000000000002</v>
      </c>
      <c r="B14">
        <f t="shared" ref="B14:E14" si="7">IF(IF((B$3*10^12-$A15)*(B$3*10^12-$A14)*-1&lt;0,0,1)*IF(ABS(B$3*10^12-$A15)&gt;(B$3*10^12-$A14),$A14,$A15)=B15,0,IF((B$3*10^12-$A15)*(B$3*10^12-$A14)*-1&lt;0,0,1)*IF(ABS(B$3*10^12-$A15)&gt;(B$3*10^12-$A14),$A14,$A15))</f>
        <v>0</v>
      </c>
      <c r="C14">
        <f t="shared" si="7"/>
        <v>0</v>
      </c>
      <c r="D14">
        <f t="shared" si="7"/>
        <v>0</v>
      </c>
      <c r="E14">
        <f t="shared" si="7"/>
        <v>0</v>
      </c>
      <c r="H14" s="77" t="s">
        <v>161</v>
      </c>
      <c r="I14" t="e">
        <f>Cslope_ideal</f>
        <v>#NAME?</v>
      </c>
      <c r="J14" t="e">
        <f>#REF!*1000000000000</f>
        <v>#REF!</v>
      </c>
      <c r="K14" s="77" t="s">
        <v>15</v>
      </c>
    </row>
    <row r="15" spans="1:11" x14ac:dyDescent="0.2">
      <c r="A15">
        <v>2.7</v>
      </c>
      <c r="B15">
        <f t="shared" si="3"/>
        <v>0</v>
      </c>
      <c r="C15">
        <f t="shared" si="4"/>
        <v>0</v>
      </c>
      <c r="D15">
        <f t="shared" si="5"/>
        <v>0</v>
      </c>
      <c r="E15">
        <f t="shared" si="6"/>
        <v>0</v>
      </c>
    </row>
    <row r="16" spans="1:11" x14ac:dyDescent="0.2">
      <c r="A16">
        <v>3.3</v>
      </c>
      <c r="B16">
        <f t="shared" si="3"/>
        <v>0</v>
      </c>
      <c r="C16">
        <f t="shared" si="4"/>
        <v>0</v>
      </c>
      <c r="D16">
        <f t="shared" si="5"/>
        <v>0</v>
      </c>
      <c r="E16">
        <f t="shared" si="6"/>
        <v>0</v>
      </c>
      <c r="H16" s="77" t="s">
        <v>130</v>
      </c>
      <c r="I16">
        <f>Ruvlo1</f>
        <v>259.99999999999994</v>
      </c>
      <c r="J16" s="4">
        <f>IF(I16="OPEN","OPEN",IF(I16&gt;(INT(0.5+100*POWER(10,IF(96*(LOG(I16)-INT(LOG(I16)))-ROUND(96*(LOG(I16)-INT(LOG(I16))),0)&lt;0,ROUND(96*(LOG(I16)-INT(LOG(I16))),0)-1,ROUND(96*(LOG(I16)-INT(LOG(I16))),0))/96))*POWER(10,INT(LOG(I16))-2)+INT(0.5+100*POWER(10,(IF(96*(LOG(I16)-INT(LOG(I16)))-ROUND(96*(LOG(I16)-INT(LOG(I16))),0)&lt;0,ROUND(96*(LOG(I16)-INT(LOG(I16))),0)-1,ROUND(96*(LOG(I16)-INT(LOG(I16))),0))+1)/96))*POWER(10,INT(LOG(I16))-2))/2,INT(0.5+100*POWER(10,(IF(96*(LOG(I16)-INT(LOG(I16)))-ROUND(96*(LOG(I16)-INT(LOG(I16))),0)&lt;0,ROUND(96*(LOG(I16)-INT(LOG(I16))),0)-1,ROUND(96*(LOG(I16)-INT(LOG(I16))),0))+1)/96))*POWER(10,INT(LOG(I16))-2),INT(0.5+100*POWER(10,IF(96*(LOG(I16)-INT(LOG(I16)))-ROUND(96*(LOG(I16)-INT(LOG(I16))),0)&lt;0,ROUND(96*(LOG(I16)-INT(LOG(I16))),0)-1,ROUND(96*(LOG(I16)-INT(LOG(I16))),0))/96))*POWER(10,INT(LOG(I16))-2)))</f>
        <v>261</v>
      </c>
      <c r="K16" s="18" t="s">
        <v>113</v>
      </c>
    </row>
    <row r="17" spans="1:11" x14ac:dyDescent="0.2">
      <c r="A17">
        <v>3.9</v>
      </c>
      <c r="B17">
        <f t="shared" si="3"/>
        <v>0</v>
      </c>
      <c r="C17">
        <f t="shared" si="4"/>
        <v>0</v>
      </c>
      <c r="D17">
        <f t="shared" si="5"/>
        <v>0</v>
      </c>
      <c r="E17">
        <f t="shared" si="6"/>
        <v>0</v>
      </c>
      <c r="H17" s="77" t="s">
        <v>131</v>
      </c>
      <c r="I17" s="178">
        <f>Ruvlo2</f>
        <v>87</v>
      </c>
      <c r="J17" s="4">
        <f>IF(I17="OPEN","OPEN",IF(I17&gt;(INT(0.5+100*POWER(10,IF(96*(LOG(I17)-INT(LOG(I17)))-ROUND(96*(LOG(I17)-INT(LOG(I17))),0)&lt;0,ROUND(96*(LOG(I17)-INT(LOG(I17))),0)-1,ROUND(96*(LOG(I17)-INT(LOG(I17))),0))/96))*POWER(10,INT(LOG(I17))-2)+INT(0.5+100*POWER(10,(IF(96*(LOG(I17)-INT(LOG(I17)))-ROUND(96*(LOG(I17)-INT(LOG(I17))),0)&lt;0,ROUND(96*(LOG(I17)-INT(LOG(I17))),0)-1,ROUND(96*(LOG(I17)-INT(LOG(I17))),0))+1)/96))*POWER(10,INT(LOG(I17))-2))/2,INT(0.5+100*POWER(10,(IF(96*(LOG(I17)-INT(LOG(I17)))-ROUND(96*(LOG(I17)-INT(LOG(I17))),0)&lt;0,ROUND(96*(LOG(I17)-INT(LOG(I17))),0)-1,ROUND(96*(LOG(I17)-INT(LOG(I17))),0))+1)/96))*POWER(10,INT(LOG(I17))-2),INT(0.5+100*POWER(10,IF(96*(LOG(I17)-INT(LOG(I17)))-ROUND(96*(LOG(I17)-INT(LOG(I17))),0)&lt;0,ROUND(96*(LOG(I17)-INT(LOG(I17))),0)-1,ROUND(96*(LOG(I17)-INT(LOG(I17))),0))/96))*POWER(10,INT(LOG(I17))-2)))</f>
        <v>86.600000000000009</v>
      </c>
      <c r="K17" s="18" t="s">
        <v>113</v>
      </c>
    </row>
    <row r="18" spans="1:11" x14ac:dyDescent="0.2">
      <c r="A18">
        <v>4.7</v>
      </c>
      <c r="B18">
        <f t="shared" si="3"/>
        <v>0</v>
      </c>
      <c r="C18">
        <f t="shared" si="4"/>
        <v>0</v>
      </c>
      <c r="D18">
        <f t="shared" si="5"/>
        <v>0</v>
      </c>
      <c r="E18">
        <f t="shared" si="6"/>
        <v>0</v>
      </c>
      <c r="H18" s="77" t="s">
        <v>297</v>
      </c>
      <c r="I18" s="178" t="e">
        <f>Rhys</f>
        <v>#NAME?</v>
      </c>
      <c r="J18" s="4" t="e">
        <f>IF(I18="OPEN","OPEN",IF(I18&gt;(INT(0.5+100*POWER(10,IF(96*(LOG(I18)-INT(LOG(I18)))-ROUND(96*(LOG(I18)-INT(LOG(I18))),0)&lt;0,ROUND(96*(LOG(I18)-INT(LOG(I18))),0)-1,ROUND(96*(LOG(I18)-INT(LOG(I18))),0))/96))*POWER(10,INT(LOG(I18))-2)+INT(0.5+100*POWER(10,(IF(96*(LOG(I18)-INT(LOG(I18)))-ROUND(96*(LOG(I18)-INT(LOG(I18))),0)&lt;0,ROUND(96*(LOG(I18)-INT(LOG(I18))),0)-1,ROUND(96*(LOG(I18)-INT(LOG(I18))),0))+1)/96))*POWER(10,INT(LOG(I18))-2))/2,INT(0.5+100*POWER(10,(IF(96*(LOG(I18)-INT(LOG(I18)))-ROUND(96*(LOG(I18)-INT(LOG(I18))),0)&lt;0,ROUND(96*(LOG(I18)-INT(LOG(I18))),0)-1,ROUND(96*(LOG(I18)-INT(LOG(I18))),0))+1)/96))*POWER(10,INT(LOG(I18))-2),INT(0.5+100*POWER(10,IF(96*(LOG(I18)-INT(LOG(I18)))-ROUND(96*(LOG(I18)-INT(LOG(I18))),0)&lt;0,ROUND(96*(LOG(I18)-INT(LOG(I18))),0)-1,ROUND(96*(LOG(I18)-INT(LOG(I18))),0))/96))*POWER(10,INT(LOG(I18))-2)))</f>
        <v>#NAME?</v>
      </c>
      <c r="K18" s="18" t="s">
        <v>113</v>
      </c>
    </row>
    <row r="19" spans="1:11" x14ac:dyDescent="0.2">
      <c r="A19">
        <v>5.6</v>
      </c>
      <c r="B19">
        <f t="shared" si="3"/>
        <v>0</v>
      </c>
      <c r="C19">
        <f t="shared" si="4"/>
        <v>0</v>
      </c>
      <c r="D19">
        <f t="shared" si="5"/>
        <v>0</v>
      </c>
      <c r="E19">
        <f t="shared" si="6"/>
        <v>0</v>
      </c>
    </row>
    <row r="20" spans="1:11" x14ac:dyDescent="0.2">
      <c r="A20">
        <v>6.8</v>
      </c>
      <c r="B20">
        <f t="shared" si="3"/>
        <v>0</v>
      </c>
      <c r="C20">
        <f t="shared" si="4"/>
        <v>0</v>
      </c>
      <c r="D20">
        <f t="shared" si="5"/>
        <v>0</v>
      </c>
      <c r="E20">
        <f t="shared" si="6"/>
        <v>0</v>
      </c>
      <c r="H20" s="77"/>
      <c r="J20" s="4"/>
    </row>
    <row r="21" spans="1:11" x14ac:dyDescent="0.2">
      <c r="A21">
        <v>8.1999999999999993</v>
      </c>
      <c r="B21">
        <f t="shared" si="3"/>
        <v>0</v>
      </c>
      <c r="C21">
        <f t="shared" si="4"/>
        <v>0</v>
      </c>
      <c r="D21">
        <f t="shared" si="5"/>
        <v>0</v>
      </c>
      <c r="E21">
        <f t="shared" si="6"/>
        <v>0</v>
      </c>
      <c r="J21" s="4"/>
    </row>
    <row r="22" spans="1:11" x14ac:dyDescent="0.2">
      <c r="A22">
        <v>10</v>
      </c>
      <c r="B22">
        <f t="shared" si="3"/>
        <v>0</v>
      </c>
      <c r="C22">
        <f t="shared" si="4"/>
        <v>0</v>
      </c>
      <c r="D22">
        <f t="shared" si="5"/>
        <v>0</v>
      </c>
      <c r="E22">
        <f t="shared" si="6"/>
        <v>0</v>
      </c>
      <c r="H22" s="77"/>
      <c r="J22" s="4"/>
      <c r="K22" s="18"/>
    </row>
    <row r="23" spans="1:11" x14ac:dyDescent="0.2">
      <c r="A23">
        <v>12</v>
      </c>
      <c r="B23">
        <f t="shared" si="3"/>
        <v>0</v>
      </c>
      <c r="C23">
        <f t="shared" si="4"/>
        <v>0</v>
      </c>
      <c r="D23">
        <f t="shared" si="5"/>
        <v>0</v>
      </c>
      <c r="E23">
        <f t="shared" si="6"/>
        <v>0</v>
      </c>
    </row>
    <row r="24" spans="1:11" x14ac:dyDescent="0.2">
      <c r="A24">
        <v>15</v>
      </c>
      <c r="B24">
        <f t="shared" si="3"/>
        <v>0</v>
      </c>
      <c r="C24">
        <f t="shared" si="4"/>
        <v>0</v>
      </c>
      <c r="D24">
        <f t="shared" si="5"/>
        <v>0</v>
      </c>
      <c r="E24">
        <f t="shared" si="6"/>
        <v>0</v>
      </c>
      <c r="J24" s="4"/>
    </row>
    <row r="25" spans="1:11" x14ac:dyDescent="0.2">
      <c r="A25">
        <v>18</v>
      </c>
      <c r="B25">
        <f t="shared" si="3"/>
        <v>0</v>
      </c>
      <c r="C25">
        <f t="shared" si="4"/>
        <v>0</v>
      </c>
      <c r="D25">
        <f t="shared" si="5"/>
        <v>0</v>
      </c>
      <c r="E25">
        <f t="shared" si="6"/>
        <v>0</v>
      </c>
      <c r="H25" s="77"/>
      <c r="J25" s="4"/>
      <c r="K25" s="18"/>
    </row>
    <row r="26" spans="1:11" x14ac:dyDescent="0.2">
      <c r="A26">
        <v>22</v>
      </c>
      <c r="B26">
        <f t="shared" si="3"/>
        <v>0</v>
      </c>
      <c r="C26">
        <f t="shared" si="4"/>
        <v>0</v>
      </c>
      <c r="D26">
        <f t="shared" si="5"/>
        <v>0</v>
      </c>
      <c r="E26">
        <f t="shared" si="6"/>
        <v>0</v>
      </c>
    </row>
    <row r="27" spans="1:11" x14ac:dyDescent="0.2">
      <c r="A27">
        <v>27</v>
      </c>
      <c r="B27">
        <f t="shared" si="3"/>
        <v>0</v>
      </c>
      <c r="C27">
        <f t="shared" si="4"/>
        <v>0</v>
      </c>
      <c r="D27">
        <f t="shared" si="5"/>
        <v>0</v>
      </c>
      <c r="E27">
        <f t="shared" si="6"/>
        <v>0</v>
      </c>
    </row>
    <row r="28" spans="1:11" x14ac:dyDescent="0.2">
      <c r="A28">
        <v>33</v>
      </c>
      <c r="B28">
        <f t="shared" si="3"/>
        <v>0</v>
      </c>
      <c r="C28">
        <f t="shared" si="4"/>
        <v>0</v>
      </c>
      <c r="D28">
        <f t="shared" si="5"/>
        <v>0</v>
      </c>
      <c r="E28">
        <f t="shared" si="6"/>
        <v>0</v>
      </c>
      <c r="H28" s="5"/>
      <c r="K28" s="18"/>
    </row>
    <row r="29" spans="1:11" x14ac:dyDescent="0.2">
      <c r="A29">
        <v>39</v>
      </c>
      <c r="B29">
        <f t="shared" si="3"/>
        <v>0</v>
      </c>
      <c r="C29">
        <f t="shared" si="4"/>
        <v>0</v>
      </c>
      <c r="D29">
        <f t="shared" si="5"/>
        <v>0</v>
      </c>
      <c r="E29">
        <f t="shared" si="6"/>
        <v>0</v>
      </c>
      <c r="H29" s="5"/>
      <c r="K29" s="77"/>
    </row>
    <row r="30" spans="1:11" x14ac:dyDescent="0.2">
      <c r="A30">
        <v>47</v>
      </c>
      <c r="B30">
        <f t="shared" si="3"/>
        <v>0</v>
      </c>
      <c r="C30">
        <f t="shared" si="4"/>
        <v>0</v>
      </c>
      <c r="D30">
        <f t="shared" si="5"/>
        <v>0</v>
      </c>
      <c r="E30">
        <f t="shared" si="6"/>
        <v>0</v>
      </c>
      <c r="H30" s="5"/>
      <c r="K30" s="77"/>
    </row>
    <row r="31" spans="1:11" x14ac:dyDescent="0.2">
      <c r="A31">
        <v>56</v>
      </c>
      <c r="B31">
        <f t="shared" si="3"/>
        <v>0</v>
      </c>
      <c r="C31">
        <f t="shared" si="4"/>
        <v>0</v>
      </c>
      <c r="D31">
        <f t="shared" si="5"/>
        <v>0</v>
      </c>
      <c r="E31">
        <f t="shared" si="6"/>
        <v>0</v>
      </c>
      <c r="H31" s="5"/>
      <c r="K31" s="18"/>
    </row>
    <row r="32" spans="1:11" x14ac:dyDescent="0.2">
      <c r="A32">
        <v>68</v>
      </c>
      <c r="B32">
        <f t="shared" si="3"/>
        <v>0</v>
      </c>
      <c r="C32">
        <f t="shared" si="4"/>
        <v>0</v>
      </c>
      <c r="D32">
        <f t="shared" si="5"/>
        <v>0</v>
      </c>
      <c r="E32">
        <f t="shared" si="6"/>
        <v>0</v>
      </c>
      <c r="H32" s="5"/>
      <c r="K32" s="77"/>
    </row>
    <row r="33" spans="1:8" x14ac:dyDescent="0.2">
      <c r="A33">
        <v>82</v>
      </c>
      <c r="B33">
        <f t="shared" si="3"/>
        <v>0</v>
      </c>
      <c r="C33">
        <f t="shared" si="4"/>
        <v>0</v>
      </c>
      <c r="D33">
        <f t="shared" si="5"/>
        <v>0</v>
      </c>
      <c r="E33">
        <f t="shared" si="6"/>
        <v>0</v>
      </c>
    </row>
    <row r="34" spans="1:8" x14ac:dyDescent="0.2">
      <c r="A34">
        <f>A22*10</f>
        <v>100</v>
      </c>
      <c r="B34">
        <f t="shared" si="3"/>
        <v>0</v>
      </c>
      <c r="C34">
        <f t="shared" si="4"/>
        <v>0</v>
      </c>
      <c r="D34">
        <f t="shared" si="5"/>
        <v>0</v>
      </c>
      <c r="E34">
        <f t="shared" si="6"/>
        <v>0</v>
      </c>
      <c r="H34" s="77"/>
    </row>
    <row r="35" spans="1:8" x14ac:dyDescent="0.2">
      <c r="A35">
        <f t="shared" ref="A35:A98" si="8">A23*10</f>
        <v>120</v>
      </c>
      <c r="B35">
        <f t="shared" si="3"/>
        <v>0</v>
      </c>
      <c r="C35">
        <f t="shared" si="4"/>
        <v>0</v>
      </c>
      <c r="D35">
        <f t="shared" si="5"/>
        <v>0</v>
      </c>
      <c r="E35">
        <f t="shared" si="6"/>
        <v>0</v>
      </c>
      <c r="H35" s="77"/>
    </row>
    <row r="36" spans="1:8" x14ac:dyDescent="0.2">
      <c r="A36">
        <f t="shared" si="8"/>
        <v>150</v>
      </c>
      <c r="B36">
        <f t="shared" si="3"/>
        <v>0</v>
      </c>
      <c r="C36">
        <f t="shared" si="4"/>
        <v>0</v>
      </c>
      <c r="D36">
        <f t="shared" si="5"/>
        <v>0</v>
      </c>
      <c r="E36">
        <f t="shared" si="6"/>
        <v>0</v>
      </c>
    </row>
    <row r="37" spans="1:8" x14ac:dyDescent="0.2">
      <c r="A37">
        <f t="shared" si="8"/>
        <v>180</v>
      </c>
      <c r="B37">
        <f t="shared" si="3"/>
        <v>0</v>
      </c>
      <c r="C37">
        <f t="shared" si="4"/>
        <v>0</v>
      </c>
      <c r="D37">
        <f t="shared" si="5"/>
        <v>0</v>
      </c>
      <c r="E37">
        <f t="shared" si="6"/>
        <v>0</v>
      </c>
    </row>
    <row r="38" spans="1:8" x14ac:dyDescent="0.2">
      <c r="A38">
        <f t="shared" si="8"/>
        <v>220</v>
      </c>
      <c r="B38">
        <f t="shared" si="3"/>
        <v>0</v>
      </c>
      <c r="C38">
        <f t="shared" si="4"/>
        <v>0</v>
      </c>
      <c r="D38">
        <f t="shared" si="5"/>
        <v>0</v>
      </c>
      <c r="E38">
        <f t="shared" ref="E38:E69" si="9">IF(IF((E$3*10^12-$A39)*(E$3*10^12-$A38)*-1&lt;0,0,1)*IF(ABS(E$3*10^12-$A39)&gt;(E$3*10^12-$A38),$A38,$A39)=E39,0,IF((E$3*10^12-$A39)*(E$3*10^12-$A38)*-1&lt;0,0,1)*IF(ABS(E$3*10^12-$A39)&gt;(E$3*10^12-$A38),$A38,$A39))</f>
        <v>0</v>
      </c>
    </row>
    <row r="39" spans="1:8" x14ac:dyDescent="0.2">
      <c r="A39">
        <f t="shared" si="8"/>
        <v>270</v>
      </c>
      <c r="B39">
        <f t="shared" si="3"/>
        <v>0</v>
      </c>
      <c r="C39">
        <f t="shared" si="4"/>
        <v>0</v>
      </c>
      <c r="D39">
        <f t="shared" si="5"/>
        <v>0</v>
      </c>
      <c r="E39">
        <f t="shared" si="9"/>
        <v>0</v>
      </c>
    </row>
    <row r="40" spans="1:8" x14ac:dyDescent="0.2">
      <c r="A40">
        <f t="shared" si="8"/>
        <v>330</v>
      </c>
      <c r="B40">
        <f t="shared" si="3"/>
        <v>0</v>
      </c>
      <c r="C40">
        <f t="shared" si="4"/>
        <v>0</v>
      </c>
      <c r="D40">
        <f t="shared" si="5"/>
        <v>0</v>
      </c>
      <c r="E40">
        <f t="shared" si="9"/>
        <v>0</v>
      </c>
    </row>
    <row r="41" spans="1:8" x14ac:dyDescent="0.2">
      <c r="A41">
        <f t="shared" si="8"/>
        <v>390</v>
      </c>
      <c r="B41">
        <f t="shared" si="3"/>
        <v>0</v>
      </c>
      <c r="C41">
        <f t="shared" si="4"/>
        <v>0</v>
      </c>
      <c r="D41">
        <f t="shared" si="5"/>
        <v>0</v>
      </c>
      <c r="E41">
        <f t="shared" si="9"/>
        <v>0</v>
      </c>
    </row>
    <row r="42" spans="1:8" x14ac:dyDescent="0.2">
      <c r="A42">
        <f t="shared" si="8"/>
        <v>470</v>
      </c>
      <c r="B42">
        <f t="shared" si="3"/>
        <v>0</v>
      </c>
      <c r="C42">
        <f t="shared" si="4"/>
        <v>0</v>
      </c>
      <c r="D42">
        <f t="shared" si="5"/>
        <v>0</v>
      </c>
      <c r="E42">
        <f t="shared" si="9"/>
        <v>0</v>
      </c>
    </row>
    <row r="43" spans="1:8" x14ac:dyDescent="0.2">
      <c r="A43">
        <f t="shared" si="8"/>
        <v>560</v>
      </c>
      <c r="B43">
        <f t="shared" si="3"/>
        <v>0</v>
      </c>
      <c r="C43">
        <f t="shared" si="4"/>
        <v>0</v>
      </c>
      <c r="D43">
        <f t="shared" si="5"/>
        <v>0</v>
      </c>
      <c r="E43">
        <f t="shared" si="9"/>
        <v>0</v>
      </c>
    </row>
    <row r="44" spans="1:8" x14ac:dyDescent="0.2">
      <c r="A44">
        <f t="shared" si="8"/>
        <v>680</v>
      </c>
      <c r="B44">
        <f t="shared" si="3"/>
        <v>0</v>
      </c>
      <c r="C44">
        <f t="shared" si="4"/>
        <v>0</v>
      </c>
      <c r="D44">
        <f t="shared" si="5"/>
        <v>0</v>
      </c>
      <c r="E44">
        <f t="shared" si="9"/>
        <v>0</v>
      </c>
    </row>
    <row r="45" spans="1:8" x14ac:dyDescent="0.2">
      <c r="A45">
        <f>A33*10</f>
        <v>820</v>
      </c>
      <c r="B45">
        <f t="shared" si="3"/>
        <v>0</v>
      </c>
      <c r="C45">
        <f t="shared" si="4"/>
        <v>0</v>
      </c>
      <c r="D45">
        <f t="shared" si="5"/>
        <v>0</v>
      </c>
      <c r="E45">
        <f t="shared" si="9"/>
        <v>0</v>
      </c>
    </row>
    <row r="46" spans="1:8" x14ac:dyDescent="0.2">
      <c r="A46">
        <f t="shared" si="8"/>
        <v>1000</v>
      </c>
      <c r="B46">
        <f t="shared" si="3"/>
        <v>0</v>
      </c>
      <c r="C46">
        <f t="shared" si="4"/>
        <v>0</v>
      </c>
      <c r="D46">
        <f t="shared" si="5"/>
        <v>0</v>
      </c>
      <c r="E46">
        <f t="shared" si="9"/>
        <v>0</v>
      </c>
    </row>
    <row r="47" spans="1:8" x14ac:dyDescent="0.2">
      <c r="A47">
        <f t="shared" si="8"/>
        <v>1200</v>
      </c>
      <c r="B47">
        <f t="shared" si="3"/>
        <v>0</v>
      </c>
      <c r="C47">
        <f t="shared" si="4"/>
        <v>0</v>
      </c>
      <c r="D47">
        <f t="shared" si="5"/>
        <v>0</v>
      </c>
      <c r="E47">
        <f t="shared" si="9"/>
        <v>0</v>
      </c>
    </row>
    <row r="48" spans="1:8" x14ac:dyDescent="0.2">
      <c r="A48">
        <f t="shared" si="8"/>
        <v>1500</v>
      </c>
      <c r="B48">
        <f t="shared" si="3"/>
        <v>0</v>
      </c>
      <c r="C48">
        <f t="shared" si="4"/>
        <v>0</v>
      </c>
      <c r="D48">
        <f t="shared" si="5"/>
        <v>0</v>
      </c>
      <c r="E48">
        <f t="shared" si="9"/>
        <v>0</v>
      </c>
    </row>
    <row r="49" spans="1:5" x14ac:dyDescent="0.2">
      <c r="A49">
        <f t="shared" si="8"/>
        <v>1800</v>
      </c>
      <c r="B49">
        <f t="shared" si="3"/>
        <v>0</v>
      </c>
      <c r="C49">
        <f t="shared" si="4"/>
        <v>0</v>
      </c>
      <c r="D49">
        <f t="shared" si="5"/>
        <v>0</v>
      </c>
      <c r="E49">
        <f t="shared" si="9"/>
        <v>0</v>
      </c>
    </row>
    <row r="50" spans="1:5" x14ac:dyDescent="0.2">
      <c r="A50">
        <f t="shared" si="8"/>
        <v>2200</v>
      </c>
      <c r="B50">
        <f t="shared" si="3"/>
        <v>0</v>
      </c>
      <c r="C50">
        <f t="shared" si="4"/>
        <v>0</v>
      </c>
      <c r="D50">
        <f t="shared" si="5"/>
        <v>0</v>
      </c>
      <c r="E50">
        <f t="shared" si="9"/>
        <v>0</v>
      </c>
    </row>
    <row r="51" spans="1:5" x14ac:dyDescent="0.2">
      <c r="A51">
        <f t="shared" si="8"/>
        <v>2700</v>
      </c>
      <c r="B51">
        <f t="shared" si="3"/>
        <v>0</v>
      </c>
      <c r="C51">
        <f t="shared" si="4"/>
        <v>0</v>
      </c>
      <c r="D51">
        <f t="shared" si="5"/>
        <v>0</v>
      </c>
      <c r="E51">
        <f t="shared" si="9"/>
        <v>0</v>
      </c>
    </row>
    <row r="52" spans="1:5" x14ac:dyDescent="0.2">
      <c r="A52">
        <f t="shared" si="8"/>
        <v>3300</v>
      </c>
      <c r="B52">
        <f t="shared" si="3"/>
        <v>0</v>
      </c>
      <c r="C52">
        <f t="shared" si="4"/>
        <v>0</v>
      </c>
      <c r="D52">
        <f t="shared" si="5"/>
        <v>0</v>
      </c>
      <c r="E52">
        <f t="shared" si="9"/>
        <v>0</v>
      </c>
    </row>
    <row r="53" spans="1:5" x14ac:dyDescent="0.2">
      <c r="A53">
        <f t="shared" si="8"/>
        <v>3900</v>
      </c>
      <c r="B53">
        <f t="shared" si="3"/>
        <v>0</v>
      </c>
      <c r="C53">
        <f t="shared" si="4"/>
        <v>0</v>
      </c>
      <c r="D53">
        <f t="shared" si="5"/>
        <v>0</v>
      </c>
      <c r="E53">
        <f t="shared" si="9"/>
        <v>0</v>
      </c>
    </row>
    <row r="54" spans="1:5" x14ac:dyDescent="0.2">
      <c r="A54">
        <f t="shared" si="8"/>
        <v>4700</v>
      </c>
      <c r="B54">
        <f t="shared" si="3"/>
        <v>0</v>
      </c>
      <c r="C54">
        <f t="shared" si="4"/>
        <v>0</v>
      </c>
      <c r="D54">
        <f t="shared" si="5"/>
        <v>0</v>
      </c>
      <c r="E54">
        <f t="shared" si="9"/>
        <v>0</v>
      </c>
    </row>
    <row r="55" spans="1:5" x14ac:dyDescent="0.2">
      <c r="A55">
        <f t="shared" si="8"/>
        <v>5600</v>
      </c>
      <c r="B55">
        <f t="shared" si="3"/>
        <v>0</v>
      </c>
      <c r="C55">
        <f t="shared" si="4"/>
        <v>0</v>
      </c>
      <c r="D55">
        <f t="shared" si="5"/>
        <v>0</v>
      </c>
      <c r="E55">
        <f t="shared" si="9"/>
        <v>0</v>
      </c>
    </row>
    <row r="56" spans="1:5" x14ac:dyDescent="0.2">
      <c r="A56">
        <f t="shared" si="8"/>
        <v>6800</v>
      </c>
      <c r="B56">
        <f t="shared" si="3"/>
        <v>0</v>
      </c>
      <c r="C56">
        <f t="shared" si="4"/>
        <v>0</v>
      </c>
      <c r="D56">
        <f t="shared" si="5"/>
        <v>0</v>
      </c>
      <c r="E56">
        <f t="shared" si="9"/>
        <v>0</v>
      </c>
    </row>
    <row r="57" spans="1:5" x14ac:dyDescent="0.2">
      <c r="A57">
        <f t="shared" si="8"/>
        <v>8200</v>
      </c>
      <c r="B57">
        <f t="shared" si="3"/>
        <v>0</v>
      </c>
      <c r="C57">
        <f t="shared" si="4"/>
        <v>0</v>
      </c>
      <c r="D57">
        <f t="shared" si="5"/>
        <v>0</v>
      </c>
      <c r="E57">
        <f t="shared" si="9"/>
        <v>0</v>
      </c>
    </row>
    <row r="58" spans="1:5" x14ac:dyDescent="0.2">
      <c r="A58">
        <f t="shared" si="8"/>
        <v>10000</v>
      </c>
      <c r="B58">
        <f t="shared" si="3"/>
        <v>0</v>
      </c>
      <c r="C58">
        <f t="shared" si="4"/>
        <v>0</v>
      </c>
      <c r="D58">
        <f t="shared" si="5"/>
        <v>0</v>
      </c>
      <c r="E58">
        <f t="shared" si="9"/>
        <v>0</v>
      </c>
    </row>
    <row r="59" spans="1:5" x14ac:dyDescent="0.2">
      <c r="A59">
        <f t="shared" si="8"/>
        <v>12000</v>
      </c>
      <c r="B59">
        <f t="shared" si="3"/>
        <v>0</v>
      </c>
      <c r="C59">
        <f t="shared" si="4"/>
        <v>0</v>
      </c>
      <c r="D59">
        <f t="shared" si="5"/>
        <v>0</v>
      </c>
      <c r="E59">
        <f t="shared" si="9"/>
        <v>0</v>
      </c>
    </row>
    <row r="60" spans="1:5" x14ac:dyDescent="0.2">
      <c r="A60">
        <f t="shared" si="8"/>
        <v>15000</v>
      </c>
      <c r="B60">
        <f t="shared" si="3"/>
        <v>0</v>
      </c>
      <c r="C60">
        <f t="shared" si="4"/>
        <v>0</v>
      </c>
      <c r="D60">
        <f t="shared" si="5"/>
        <v>0</v>
      </c>
      <c r="E60">
        <f t="shared" si="9"/>
        <v>0</v>
      </c>
    </row>
    <row r="61" spans="1:5" x14ac:dyDescent="0.2">
      <c r="A61">
        <f t="shared" si="8"/>
        <v>18000</v>
      </c>
      <c r="B61">
        <f t="shared" si="3"/>
        <v>0</v>
      </c>
      <c r="C61">
        <f t="shared" si="4"/>
        <v>0</v>
      </c>
      <c r="D61">
        <f t="shared" si="5"/>
        <v>0</v>
      </c>
      <c r="E61">
        <f t="shared" si="9"/>
        <v>0</v>
      </c>
    </row>
    <row r="62" spans="1:5" x14ac:dyDescent="0.2">
      <c r="A62">
        <f t="shared" si="8"/>
        <v>22000</v>
      </c>
      <c r="B62">
        <f t="shared" si="3"/>
        <v>0</v>
      </c>
      <c r="C62">
        <f t="shared" si="4"/>
        <v>0</v>
      </c>
      <c r="D62">
        <f t="shared" si="5"/>
        <v>0</v>
      </c>
      <c r="E62">
        <f t="shared" si="9"/>
        <v>0</v>
      </c>
    </row>
    <row r="63" spans="1:5" x14ac:dyDescent="0.2">
      <c r="A63">
        <f t="shared" si="8"/>
        <v>27000</v>
      </c>
      <c r="B63">
        <f t="shared" si="3"/>
        <v>0</v>
      </c>
      <c r="C63">
        <f t="shared" si="4"/>
        <v>0</v>
      </c>
      <c r="D63">
        <f t="shared" si="5"/>
        <v>0</v>
      </c>
      <c r="E63">
        <f t="shared" si="9"/>
        <v>0</v>
      </c>
    </row>
    <row r="64" spans="1:5" x14ac:dyDescent="0.2">
      <c r="A64">
        <f t="shared" si="8"/>
        <v>33000</v>
      </c>
      <c r="B64">
        <f t="shared" si="3"/>
        <v>0</v>
      </c>
      <c r="C64">
        <f t="shared" si="4"/>
        <v>0</v>
      </c>
      <c r="D64">
        <f t="shared" si="5"/>
        <v>0</v>
      </c>
      <c r="E64">
        <f t="shared" si="9"/>
        <v>0</v>
      </c>
    </row>
    <row r="65" spans="1:5" x14ac:dyDescent="0.2">
      <c r="A65">
        <f t="shared" si="8"/>
        <v>39000</v>
      </c>
      <c r="B65">
        <f t="shared" si="3"/>
        <v>47000</v>
      </c>
      <c r="C65">
        <f t="shared" si="4"/>
        <v>0</v>
      </c>
      <c r="D65">
        <f t="shared" si="5"/>
        <v>0</v>
      </c>
      <c r="E65">
        <f t="shared" si="9"/>
        <v>0</v>
      </c>
    </row>
    <row r="66" spans="1:5" x14ac:dyDescent="0.2">
      <c r="A66">
        <f t="shared" si="8"/>
        <v>47000</v>
      </c>
      <c r="B66">
        <f t="shared" si="3"/>
        <v>0</v>
      </c>
      <c r="C66">
        <f t="shared" si="4"/>
        <v>0</v>
      </c>
      <c r="D66">
        <f t="shared" si="5"/>
        <v>0</v>
      </c>
      <c r="E66">
        <f t="shared" si="9"/>
        <v>0</v>
      </c>
    </row>
    <row r="67" spans="1:5" x14ac:dyDescent="0.2">
      <c r="A67">
        <f t="shared" si="8"/>
        <v>56000</v>
      </c>
      <c r="B67">
        <f t="shared" si="3"/>
        <v>0</v>
      </c>
      <c r="C67">
        <f t="shared" si="4"/>
        <v>0</v>
      </c>
      <c r="D67">
        <f t="shared" si="5"/>
        <v>0</v>
      </c>
      <c r="E67">
        <f t="shared" si="9"/>
        <v>0</v>
      </c>
    </row>
    <row r="68" spans="1:5" x14ac:dyDescent="0.2">
      <c r="A68">
        <f t="shared" si="8"/>
        <v>68000</v>
      </c>
      <c r="B68">
        <f t="shared" si="3"/>
        <v>0</v>
      </c>
      <c r="C68">
        <f t="shared" si="4"/>
        <v>0</v>
      </c>
      <c r="D68">
        <f t="shared" si="5"/>
        <v>0</v>
      </c>
      <c r="E68">
        <f t="shared" si="9"/>
        <v>0</v>
      </c>
    </row>
    <row r="69" spans="1:5" x14ac:dyDescent="0.2">
      <c r="A69">
        <f t="shared" si="8"/>
        <v>82000</v>
      </c>
      <c r="B69">
        <f t="shared" si="3"/>
        <v>0</v>
      </c>
      <c r="C69">
        <f t="shared" si="4"/>
        <v>0</v>
      </c>
      <c r="D69">
        <f t="shared" si="5"/>
        <v>0</v>
      </c>
      <c r="E69">
        <f t="shared" si="9"/>
        <v>0</v>
      </c>
    </row>
    <row r="70" spans="1:5" x14ac:dyDescent="0.2">
      <c r="A70">
        <f t="shared" si="8"/>
        <v>100000</v>
      </c>
      <c r="B70">
        <f t="shared" si="3"/>
        <v>0</v>
      </c>
      <c r="C70">
        <f t="shared" ref="C70:D70" si="10">IF(IF((C$3*10^12-$A71)*(C$3*10^12-$A70)*-1&lt;0,0,1)*IF(ABS(C$3*10^12-$A71)&gt;(C$3*10^12-$A70),$A70,$A71)=C71,0,IF((C$3*10^12-$A71)*(C$3*10^12-$A70)*-1&lt;0,0,1)*IF(ABS(C$3*10^12-$A71)&gt;(C$3*10^12-$A70),$A70,$A71))</f>
        <v>0</v>
      </c>
      <c r="D70">
        <f t="shared" si="10"/>
        <v>0</v>
      </c>
      <c r="E70">
        <f t="shared" ref="E70:E101" si="11">IF(IF((E$3*10^12-$A71)*(E$3*10^12-$A70)*-1&lt;0,0,1)*IF(ABS(E$3*10^12-$A71)&gt;(E$3*10^12-$A70),$A70,$A71)=E71,0,IF((E$3*10^12-$A71)*(E$3*10^12-$A70)*-1&lt;0,0,1)*IF(ABS(E$3*10^12-$A71)&gt;(E$3*10^12-$A70),$A70,$A71))</f>
        <v>0</v>
      </c>
    </row>
    <row r="71" spans="1:5" x14ac:dyDescent="0.2">
      <c r="A71">
        <f t="shared" si="8"/>
        <v>120000</v>
      </c>
      <c r="B71">
        <f t="shared" ref="B71:B134" si="12">IF(IF((B$3*10^12-$A72)*(B$3*10^12-$A71)*-1&lt;0,0,1)*IF(ABS(B$3*10^12-$A72)&gt;(B$3*10^12-$A71),$A71,$A72)=B72,0,IF((B$3*10^12-$A72)*(B$3*10^12-$A71)*-1&lt;0,0,1)*IF(ABS(B$3*10^12-$A72)&gt;(B$3*10^12-$A71),$A71,$A72))</f>
        <v>0</v>
      </c>
      <c r="C71">
        <f t="shared" ref="C71:C133" si="13">IF(IF((C$3*10^12-$A72)*(C$3*10^12-$A71)*-1&lt;0,0,1)*IF(ABS(C$3*10^12-$A72)&gt;(C$3*10^12-$A71),$A71,$A72)=C72,0,IF((C$3*10^12-$A72)*(C$3*10^12-$A71)*-1&lt;0,0,1)*IF(ABS(C$3*10^12-$A72)&gt;(C$3*10^12-$A71),$A71,$A72))</f>
        <v>0</v>
      </c>
      <c r="D71">
        <f t="shared" ref="D71:D102" si="14">IF(IF((D$3*10^12-$A72)*(D$3*10^12-$A71)*-1&lt;0,0,1)*IF(ABS(D$3*10^12-$A72)&gt;(D$3*10^12-$A71),$A71,$A72)=D72,0,IF((D$3*10^12-$A72)*(D$3*10^12-$A71)*-1&lt;0,0,1)*IF(ABS(D$3*10^12-$A72)&gt;(D$3*10^12-$A71),$A71,$A72))</f>
        <v>0</v>
      </c>
      <c r="E71">
        <f t="shared" si="11"/>
        <v>0</v>
      </c>
    </row>
    <row r="72" spans="1:5" x14ac:dyDescent="0.2">
      <c r="A72">
        <f t="shared" si="8"/>
        <v>150000</v>
      </c>
      <c r="B72">
        <f t="shared" si="12"/>
        <v>0</v>
      </c>
      <c r="C72">
        <f t="shared" si="13"/>
        <v>0</v>
      </c>
      <c r="D72">
        <f t="shared" si="14"/>
        <v>0</v>
      </c>
      <c r="E72">
        <f t="shared" si="11"/>
        <v>0</v>
      </c>
    </row>
    <row r="73" spans="1:5" x14ac:dyDescent="0.2">
      <c r="A73">
        <f t="shared" si="8"/>
        <v>180000</v>
      </c>
      <c r="B73">
        <f t="shared" si="12"/>
        <v>0</v>
      </c>
      <c r="C73">
        <f t="shared" si="13"/>
        <v>0</v>
      </c>
      <c r="D73">
        <f t="shared" si="14"/>
        <v>0</v>
      </c>
      <c r="E73">
        <f t="shared" si="11"/>
        <v>0</v>
      </c>
    </row>
    <row r="74" spans="1:5" x14ac:dyDescent="0.2">
      <c r="A74">
        <f t="shared" si="8"/>
        <v>220000</v>
      </c>
      <c r="B74">
        <f t="shared" si="12"/>
        <v>0</v>
      </c>
      <c r="C74">
        <f t="shared" si="13"/>
        <v>0</v>
      </c>
      <c r="D74">
        <f t="shared" si="14"/>
        <v>0</v>
      </c>
      <c r="E74">
        <f t="shared" si="11"/>
        <v>0</v>
      </c>
    </row>
    <row r="75" spans="1:5" x14ac:dyDescent="0.2">
      <c r="A75">
        <f t="shared" si="8"/>
        <v>270000</v>
      </c>
      <c r="B75">
        <f t="shared" si="12"/>
        <v>0</v>
      </c>
      <c r="C75">
        <f t="shared" si="13"/>
        <v>0</v>
      </c>
      <c r="D75">
        <f t="shared" si="14"/>
        <v>0</v>
      </c>
      <c r="E75">
        <f t="shared" si="11"/>
        <v>0</v>
      </c>
    </row>
    <row r="76" spans="1:5" x14ac:dyDescent="0.2">
      <c r="A76">
        <f t="shared" si="8"/>
        <v>330000</v>
      </c>
      <c r="B76">
        <f t="shared" si="12"/>
        <v>0</v>
      </c>
      <c r="C76">
        <f t="shared" si="13"/>
        <v>0</v>
      </c>
      <c r="D76">
        <f t="shared" si="14"/>
        <v>0</v>
      </c>
      <c r="E76">
        <f t="shared" si="11"/>
        <v>0</v>
      </c>
    </row>
    <row r="77" spans="1:5" x14ac:dyDescent="0.2">
      <c r="A77">
        <f t="shared" si="8"/>
        <v>390000</v>
      </c>
      <c r="B77">
        <f t="shared" si="12"/>
        <v>0</v>
      </c>
      <c r="C77">
        <f t="shared" si="13"/>
        <v>0</v>
      </c>
      <c r="D77">
        <f t="shared" si="14"/>
        <v>0</v>
      </c>
      <c r="E77">
        <f t="shared" si="11"/>
        <v>0</v>
      </c>
    </row>
    <row r="78" spans="1:5" x14ac:dyDescent="0.2">
      <c r="A78">
        <f t="shared" si="8"/>
        <v>470000</v>
      </c>
      <c r="B78">
        <f t="shared" si="12"/>
        <v>0</v>
      </c>
      <c r="C78">
        <f t="shared" si="13"/>
        <v>0</v>
      </c>
      <c r="D78">
        <f t="shared" si="14"/>
        <v>0</v>
      </c>
      <c r="E78">
        <f t="shared" si="11"/>
        <v>0</v>
      </c>
    </row>
    <row r="79" spans="1:5" x14ac:dyDescent="0.2">
      <c r="A79">
        <f t="shared" si="8"/>
        <v>560000</v>
      </c>
      <c r="B79">
        <f t="shared" si="12"/>
        <v>0</v>
      </c>
      <c r="C79">
        <f t="shared" si="13"/>
        <v>0</v>
      </c>
      <c r="D79">
        <f t="shared" si="14"/>
        <v>0</v>
      </c>
      <c r="E79">
        <f t="shared" si="11"/>
        <v>0</v>
      </c>
    </row>
    <row r="80" spans="1:5" x14ac:dyDescent="0.2">
      <c r="A80">
        <f t="shared" si="8"/>
        <v>680000</v>
      </c>
      <c r="B80">
        <f t="shared" si="12"/>
        <v>0</v>
      </c>
      <c r="C80">
        <f t="shared" si="13"/>
        <v>0</v>
      </c>
      <c r="D80">
        <f t="shared" si="14"/>
        <v>0</v>
      </c>
      <c r="E80">
        <f t="shared" si="11"/>
        <v>0</v>
      </c>
    </row>
    <row r="81" spans="1:5" x14ac:dyDescent="0.2">
      <c r="A81">
        <f t="shared" si="8"/>
        <v>820000</v>
      </c>
      <c r="B81">
        <f t="shared" si="12"/>
        <v>0</v>
      </c>
      <c r="C81">
        <f t="shared" si="13"/>
        <v>0</v>
      </c>
      <c r="D81">
        <f t="shared" si="14"/>
        <v>0</v>
      </c>
      <c r="E81">
        <f t="shared" si="11"/>
        <v>0</v>
      </c>
    </row>
    <row r="82" spans="1:5" x14ac:dyDescent="0.2">
      <c r="A82">
        <f t="shared" si="8"/>
        <v>1000000</v>
      </c>
      <c r="B82">
        <f t="shared" si="12"/>
        <v>0</v>
      </c>
      <c r="C82">
        <f t="shared" si="13"/>
        <v>0</v>
      </c>
      <c r="D82">
        <f t="shared" si="14"/>
        <v>0</v>
      </c>
      <c r="E82">
        <f t="shared" si="11"/>
        <v>0</v>
      </c>
    </row>
    <row r="83" spans="1:5" x14ac:dyDescent="0.2">
      <c r="A83">
        <f t="shared" si="8"/>
        <v>1200000</v>
      </c>
      <c r="B83">
        <f t="shared" si="12"/>
        <v>0</v>
      </c>
      <c r="C83">
        <f t="shared" si="13"/>
        <v>0</v>
      </c>
      <c r="D83">
        <f t="shared" si="14"/>
        <v>0</v>
      </c>
      <c r="E83">
        <f t="shared" si="11"/>
        <v>0</v>
      </c>
    </row>
    <row r="84" spans="1:5" x14ac:dyDescent="0.2">
      <c r="A84">
        <f t="shared" si="8"/>
        <v>1500000</v>
      </c>
      <c r="B84">
        <f t="shared" si="12"/>
        <v>0</v>
      </c>
      <c r="C84">
        <f t="shared" si="13"/>
        <v>0</v>
      </c>
      <c r="D84">
        <f t="shared" si="14"/>
        <v>0</v>
      </c>
      <c r="E84">
        <f t="shared" si="11"/>
        <v>0</v>
      </c>
    </row>
    <row r="85" spans="1:5" x14ac:dyDescent="0.2">
      <c r="A85">
        <f t="shared" si="8"/>
        <v>1800000</v>
      </c>
      <c r="B85">
        <f t="shared" si="12"/>
        <v>0</v>
      </c>
      <c r="C85">
        <f t="shared" si="13"/>
        <v>0</v>
      </c>
      <c r="D85">
        <f t="shared" si="14"/>
        <v>0</v>
      </c>
      <c r="E85">
        <f t="shared" si="11"/>
        <v>0</v>
      </c>
    </row>
    <row r="86" spans="1:5" x14ac:dyDescent="0.2">
      <c r="A86">
        <f t="shared" si="8"/>
        <v>2200000</v>
      </c>
      <c r="B86">
        <f t="shared" si="12"/>
        <v>0</v>
      </c>
      <c r="C86">
        <f t="shared" si="13"/>
        <v>0</v>
      </c>
      <c r="D86">
        <f t="shared" si="14"/>
        <v>0</v>
      </c>
      <c r="E86">
        <f t="shared" si="11"/>
        <v>0</v>
      </c>
    </row>
    <row r="87" spans="1:5" x14ac:dyDescent="0.2">
      <c r="A87">
        <f t="shared" si="8"/>
        <v>2700000</v>
      </c>
      <c r="B87">
        <f t="shared" si="12"/>
        <v>0</v>
      </c>
      <c r="C87">
        <f t="shared" si="13"/>
        <v>0</v>
      </c>
      <c r="D87">
        <f t="shared" si="14"/>
        <v>0</v>
      </c>
      <c r="E87">
        <f t="shared" si="11"/>
        <v>0</v>
      </c>
    </row>
    <row r="88" spans="1:5" x14ac:dyDescent="0.2">
      <c r="A88">
        <f t="shared" si="8"/>
        <v>3300000</v>
      </c>
      <c r="B88">
        <f t="shared" si="12"/>
        <v>0</v>
      </c>
      <c r="C88">
        <f t="shared" si="13"/>
        <v>0</v>
      </c>
      <c r="D88">
        <f t="shared" si="14"/>
        <v>0</v>
      </c>
      <c r="E88">
        <f t="shared" si="11"/>
        <v>0</v>
      </c>
    </row>
    <row r="89" spans="1:5" x14ac:dyDescent="0.2">
      <c r="A89">
        <f t="shared" si="8"/>
        <v>3900000</v>
      </c>
      <c r="B89">
        <f t="shared" si="12"/>
        <v>0</v>
      </c>
      <c r="C89">
        <f t="shared" si="13"/>
        <v>0</v>
      </c>
      <c r="D89">
        <f t="shared" si="14"/>
        <v>0</v>
      </c>
      <c r="E89">
        <f t="shared" si="11"/>
        <v>0</v>
      </c>
    </row>
    <row r="90" spans="1:5" x14ac:dyDescent="0.2">
      <c r="A90">
        <f t="shared" si="8"/>
        <v>4700000</v>
      </c>
      <c r="B90">
        <f t="shared" si="12"/>
        <v>0</v>
      </c>
      <c r="C90">
        <f t="shared" si="13"/>
        <v>0</v>
      </c>
      <c r="D90">
        <f t="shared" si="14"/>
        <v>0</v>
      </c>
      <c r="E90">
        <f t="shared" si="11"/>
        <v>0</v>
      </c>
    </row>
    <row r="91" spans="1:5" x14ac:dyDescent="0.2">
      <c r="A91">
        <f t="shared" si="8"/>
        <v>5600000</v>
      </c>
      <c r="B91">
        <f t="shared" si="12"/>
        <v>0</v>
      </c>
      <c r="C91">
        <f t="shared" si="13"/>
        <v>0</v>
      </c>
      <c r="D91">
        <f t="shared" si="14"/>
        <v>0</v>
      </c>
      <c r="E91">
        <f t="shared" si="11"/>
        <v>0</v>
      </c>
    </row>
    <row r="92" spans="1:5" x14ac:dyDescent="0.2">
      <c r="A92">
        <f t="shared" si="8"/>
        <v>6800000</v>
      </c>
      <c r="B92">
        <f t="shared" si="12"/>
        <v>0</v>
      </c>
      <c r="C92">
        <f t="shared" si="13"/>
        <v>0</v>
      </c>
      <c r="D92">
        <f t="shared" si="14"/>
        <v>0</v>
      </c>
      <c r="E92">
        <f t="shared" si="11"/>
        <v>0</v>
      </c>
    </row>
    <row r="93" spans="1:5" x14ac:dyDescent="0.2">
      <c r="A93">
        <f t="shared" si="8"/>
        <v>8200000</v>
      </c>
      <c r="B93">
        <f t="shared" si="12"/>
        <v>0</v>
      </c>
      <c r="C93">
        <f t="shared" si="13"/>
        <v>0</v>
      </c>
      <c r="D93">
        <f t="shared" si="14"/>
        <v>0</v>
      </c>
      <c r="E93">
        <f t="shared" si="11"/>
        <v>0</v>
      </c>
    </row>
    <row r="94" spans="1:5" x14ac:dyDescent="0.2">
      <c r="A94">
        <f t="shared" si="8"/>
        <v>10000000</v>
      </c>
      <c r="B94">
        <f t="shared" si="12"/>
        <v>0</v>
      </c>
      <c r="C94">
        <f t="shared" si="13"/>
        <v>0</v>
      </c>
      <c r="D94">
        <f t="shared" si="14"/>
        <v>0</v>
      </c>
      <c r="E94">
        <f t="shared" si="11"/>
        <v>0</v>
      </c>
    </row>
    <row r="95" spans="1:5" x14ac:dyDescent="0.2">
      <c r="A95">
        <f t="shared" si="8"/>
        <v>12000000</v>
      </c>
      <c r="B95">
        <f t="shared" si="12"/>
        <v>0</v>
      </c>
      <c r="C95">
        <f t="shared" si="13"/>
        <v>0</v>
      </c>
      <c r="D95">
        <f t="shared" si="14"/>
        <v>0</v>
      </c>
      <c r="E95">
        <f t="shared" si="11"/>
        <v>0</v>
      </c>
    </row>
    <row r="96" spans="1:5" x14ac:dyDescent="0.2">
      <c r="A96">
        <f t="shared" si="8"/>
        <v>15000000</v>
      </c>
      <c r="B96">
        <f t="shared" si="12"/>
        <v>0</v>
      </c>
      <c r="C96">
        <f t="shared" si="13"/>
        <v>0</v>
      </c>
      <c r="D96">
        <f t="shared" si="14"/>
        <v>0</v>
      </c>
      <c r="E96">
        <f t="shared" si="11"/>
        <v>0</v>
      </c>
    </row>
    <row r="97" spans="1:5" x14ac:dyDescent="0.2">
      <c r="A97">
        <f t="shared" si="8"/>
        <v>18000000</v>
      </c>
      <c r="B97">
        <f t="shared" si="12"/>
        <v>0</v>
      </c>
      <c r="C97">
        <f t="shared" si="13"/>
        <v>0</v>
      </c>
      <c r="D97">
        <f t="shared" si="14"/>
        <v>0</v>
      </c>
      <c r="E97">
        <f t="shared" si="11"/>
        <v>0</v>
      </c>
    </row>
    <row r="98" spans="1:5" x14ac:dyDescent="0.2">
      <c r="A98">
        <f t="shared" si="8"/>
        <v>22000000</v>
      </c>
      <c r="B98">
        <f t="shared" si="12"/>
        <v>0</v>
      </c>
      <c r="C98">
        <f t="shared" si="13"/>
        <v>0</v>
      </c>
      <c r="D98">
        <f t="shared" si="14"/>
        <v>0</v>
      </c>
      <c r="E98">
        <f t="shared" si="11"/>
        <v>0</v>
      </c>
    </row>
    <row r="99" spans="1:5" x14ac:dyDescent="0.2">
      <c r="A99">
        <f t="shared" ref="A99:A159" si="15">A87*10</f>
        <v>27000000</v>
      </c>
      <c r="B99">
        <f t="shared" si="12"/>
        <v>0</v>
      </c>
      <c r="C99">
        <f t="shared" si="13"/>
        <v>0</v>
      </c>
      <c r="D99">
        <f t="shared" si="14"/>
        <v>0</v>
      </c>
      <c r="E99">
        <f t="shared" si="11"/>
        <v>0</v>
      </c>
    </row>
    <row r="100" spans="1:5" x14ac:dyDescent="0.2">
      <c r="A100">
        <f t="shared" si="15"/>
        <v>33000000</v>
      </c>
      <c r="B100">
        <f t="shared" si="12"/>
        <v>0</v>
      </c>
      <c r="C100">
        <f t="shared" si="13"/>
        <v>0</v>
      </c>
      <c r="D100">
        <f t="shared" si="14"/>
        <v>0</v>
      </c>
      <c r="E100">
        <f t="shared" si="11"/>
        <v>0</v>
      </c>
    </row>
    <row r="101" spans="1:5" x14ac:dyDescent="0.2">
      <c r="A101">
        <f t="shared" si="15"/>
        <v>39000000</v>
      </c>
      <c r="B101">
        <f t="shared" si="12"/>
        <v>0</v>
      </c>
      <c r="C101">
        <f t="shared" si="13"/>
        <v>0</v>
      </c>
      <c r="D101">
        <f t="shared" si="14"/>
        <v>0</v>
      </c>
      <c r="E101">
        <f t="shared" si="11"/>
        <v>0</v>
      </c>
    </row>
    <row r="102" spans="1:5" x14ac:dyDescent="0.2">
      <c r="A102">
        <f t="shared" si="15"/>
        <v>47000000</v>
      </c>
      <c r="B102">
        <f t="shared" si="12"/>
        <v>0</v>
      </c>
      <c r="C102">
        <f t="shared" si="13"/>
        <v>0</v>
      </c>
      <c r="D102">
        <f t="shared" si="14"/>
        <v>0</v>
      </c>
      <c r="E102">
        <f t="shared" ref="E102:E133" si="16">IF(IF((E$3*10^12-$A103)*(E$3*10^12-$A102)*-1&lt;0,0,1)*IF(ABS(E$3*10^12-$A103)&gt;(E$3*10^12-$A102),$A102,$A103)=E103,0,IF((E$3*10^12-$A103)*(E$3*10^12-$A102)*-1&lt;0,0,1)*IF(ABS(E$3*10^12-$A103)&gt;(E$3*10^12-$A102),$A102,$A103))</f>
        <v>0</v>
      </c>
    </row>
    <row r="103" spans="1:5" x14ac:dyDescent="0.2">
      <c r="A103">
        <f t="shared" si="15"/>
        <v>56000000</v>
      </c>
      <c r="B103">
        <f t="shared" si="12"/>
        <v>0</v>
      </c>
      <c r="C103">
        <f t="shared" si="13"/>
        <v>0</v>
      </c>
      <c r="D103">
        <f t="shared" ref="D103:D134" si="17">IF(IF((D$3*10^12-$A104)*(D$3*10^12-$A103)*-1&lt;0,0,1)*IF(ABS(D$3*10^12-$A104)&gt;(D$3*10^12-$A103),$A103,$A104)=D104,0,IF((D$3*10^12-$A104)*(D$3*10^12-$A103)*-1&lt;0,0,1)*IF(ABS(D$3*10^12-$A104)&gt;(D$3*10^12-$A103),$A103,$A104))</f>
        <v>0</v>
      </c>
      <c r="E103">
        <f t="shared" si="16"/>
        <v>0</v>
      </c>
    </row>
    <row r="104" spans="1:5" x14ac:dyDescent="0.2">
      <c r="A104">
        <f t="shared" si="15"/>
        <v>68000000</v>
      </c>
      <c r="B104">
        <f t="shared" si="12"/>
        <v>0</v>
      </c>
      <c r="C104">
        <f t="shared" si="13"/>
        <v>0</v>
      </c>
      <c r="D104">
        <f t="shared" si="17"/>
        <v>0</v>
      </c>
      <c r="E104">
        <f t="shared" si="16"/>
        <v>0</v>
      </c>
    </row>
    <row r="105" spans="1:5" x14ac:dyDescent="0.2">
      <c r="A105">
        <f t="shared" si="15"/>
        <v>82000000</v>
      </c>
      <c r="B105">
        <f t="shared" si="12"/>
        <v>0</v>
      </c>
      <c r="C105">
        <f t="shared" si="13"/>
        <v>0</v>
      </c>
      <c r="D105">
        <f t="shared" si="17"/>
        <v>0</v>
      </c>
      <c r="E105">
        <f t="shared" si="16"/>
        <v>0</v>
      </c>
    </row>
    <row r="106" spans="1:5" x14ac:dyDescent="0.2">
      <c r="A106">
        <f t="shared" si="15"/>
        <v>100000000</v>
      </c>
      <c r="B106">
        <f t="shared" si="12"/>
        <v>0</v>
      </c>
      <c r="C106">
        <f t="shared" si="13"/>
        <v>0</v>
      </c>
      <c r="D106">
        <f t="shared" si="17"/>
        <v>0</v>
      </c>
      <c r="E106">
        <f t="shared" si="16"/>
        <v>0</v>
      </c>
    </row>
    <row r="107" spans="1:5" x14ac:dyDescent="0.2">
      <c r="A107">
        <f t="shared" si="15"/>
        <v>120000000</v>
      </c>
      <c r="B107">
        <f t="shared" si="12"/>
        <v>0</v>
      </c>
      <c r="C107">
        <f t="shared" si="13"/>
        <v>0</v>
      </c>
      <c r="D107">
        <f t="shared" si="17"/>
        <v>0</v>
      </c>
      <c r="E107">
        <f t="shared" si="16"/>
        <v>0</v>
      </c>
    </row>
    <row r="108" spans="1:5" x14ac:dyDescent="0.2">
      <c r="A108">
        <f t="shared" si="15"/>
        <v>150000000</v>
      </c>
      <c r="B108">
        <f t="shared" si="12"/>
        <v>0</v>
      </c>
      <c r="C108">
        <f t="shared" si="13"/>
        <v>0</v>
      </c>
      <c r="D108">
        <f t="shared" si="17"/>
        <v>0</v>
      </c>
      <c r="E108">
        <f t="shared" si="16"/>
        <v>0</v>
      </c>
    </row>
    <row r="109" spans="1:5" x14ac:dyDescent="0.2">
      <c r="A109">
        <f t="shared" si="15"/>
        <v>180000000</v>
      </c>
      <c r="B109">
        <f t="shared" si="12"/>
        <v>0</v>
      </c>
      <c r="C109">
        <f t="shared" si="13"/>
        <v>0</v>
      </c>
      <c r="D109">
        <f t="shared" si="17"/>
        <v>0</v>
      </c>
      <c r="E109">
        <f t="shared" si="16"/>
        <v>0</v>
      </c>
    </row>
    <row r="110" spans="1:5" x14ac:dyDescent="0.2">
      <c r="A110">
        <f t="shared" si="15"/>
        <v>220000000</v>
      </c>
      <c r="B110">
        <f t="shared" si="12"/>
        <v>0</v>
      </c>
      <c r="C110">
        <f t="shared" si="13"/>
        <v>0</v>
      </c>
      <c r="D110">
        <f t="shared" si="17"/>
        <v>0</v>
      </c>
      <c r="E110">
        <f t="shared" si="16"/>
        <v>0</v>
      </c>
    </row>
    <row r="111" spans="1:5" x14ac:dyDescent="0.2">
      <c r="A111">
        <f t="shared" si="15"/>
        <v>270000000</v>
      </c>
      <c r="B111">
        <f t="shared" si="12"/>
        <v>0</v>
      </c>
      <c r="C111">
        <f t="shared" si="13"/>
        <v>0</v>
      </c>
      <c r="D111">
        <f t="shared" si="17"/>
        <v>0</v>
      </c>
      <c r="E111">
        <f t="shared" si="16"/>
        <v>0</v>
      </c>
    </row>
    <row r="112" spans="1:5" x14ac:dyDescent="0.2">
      <c r="A112">
        <f t="shared" si="15"/>
        <v>330000000</v>
      </c>
      <c r="B112">
        <f t="shared" si="12"/>
        <v>0</v>
      </c>
      <c r="C112">
        <f t="shared" si="13"/>
        <v>0</v>
      </c>
      <c r="D112">
        <f t="shared" si="17"/>
        <v>0</v>
      </c>
      <c r="E112">
        <f t="shared" si="16"/>
        <v>0</v>
      </c>
    </row>
    <row r="113" spans="1:5" x14ac:dyDescent="0.2">
      <c r="A113">
        <f t="shared" si="15"/>
        <v>390000000</v>
      </c>
      <c r="B113">
        <f t="shared" si="12"/>
        <v>0</v>
      </c>
      <c r="C113">
        <f t="shared" si="13"/>
        <v>0</v>
      </c>
      <c r="D113">
        <f t="shared" si="17"/>
        <v>0</v>
      </c>
      <c r="E113">
        <f t="shared" si="16"/>
        <v>0</v>
      </c>
    </row>
    <row r="114" spans="1:5" x14ac:dyDescent="0.2">
      <c r="A114">
        <f t="shared" si="15"/>
        <v>470000000</v>
      </c>
      <c r="B114">
        <f t="shared" si="12"/>
        <v>0</v>
      </c>
      <c r="C114">
        <f t="shared" si="13"/>
        <v>0</v>
      </c>
      <c r="D114">
        <f t="shared" si="17"/>
        <v>0</v>
      </c>
      <c r="E114">
        <f t="shared" si="16"/>
        <v>0</v>
      </c>
    </row>
    <row r="115" spans="1:5" x14ac:dyDescent="0.2">
      <c r="A115">
        <f t="shared" si="15"/>
        <v>560000000</v>
      </c>
      <c r="B115">
        <f t="shared" si="12"/>
        <v>0</v>
      </c>
      <c r="C115">
        <f t="shared" si="13"/>
        <v>0</v>
      </c>
      <c r="D115">
        <f t="shared" si="17"/>
        <v>0</v>
      </c>
      <c r="E115">
        <f t="shared" si="16"/>
        <v>0</v>
      </c>
    </row>
    <row r="116" spans="1:5" x14ac:dyDescent="0.2">
      <c r="A116">
        <f t="shared" si="15"/>
        <v>680000000</v>
      </c>
      <c r="B116">
        <f t="shared" si="12"/>
        <v>0</v>
      </c>
      <c r="C116">
        <f t="shared" si="13"/>
        <v>0</v>
      </c>
      <c r="D116">
        <f t="shared" si="17"/>
        <v>0</v>
      </c>
      <c r="E116">
        <f t="shared" si="16"/>
        <v>0</v>
      </c>
    </row>
    <row r="117" spans="1:5" x14ac:dyDescent="0.2">
      <c r="A117">
        <f t="shared" si="15"/>
        <v>820000000</v>
      </c>
      <c r="B117">
        <f t="shared" si="12"/>
        <v>0</v>
      </c>
      <c r="C117">
        <f t="shared" si="13"/>
        <v>0</v>
      </c>
      <c r="D117">
        <f t="shared" si="17"/>
        <v>0</v>
      </c>
      <c r="E117">
        <f t="shared" si="16"/>
        <v>0</v>
      </c>
    </row>
    <row r="118" spans="1:5" x14ac:dyDescent="0.2">
      <c r="A118">
        <f t="shared" si="15"/>
        <v>1000000000</v>
      </c>
      <c r="B118">
        <f t="shared" si="12"/>
        <v>0</v>
      </c>
      <c r="C118">
        <f t="shared" si="13"/>
        <v>0</v>
      </c>
      <c r="D118">
        <f t="shared" si="17"/>
        <v>0</v>
      </c>
      <c r="E118">
        <f t="shared" si="16"/>
        <v>0</v>
      </c>
    </row>
    <row r="119" spans="1:5" x14ac:dyDescent="0.2">
      <c r="A119">
        <f t="shared" si="15"/>
        <v>1200000000</v>
      </c>
      <c r="B119">
        <f t="shared" si="12"/>
        <v>0</v>
      </c>
      <c r="C119">
        <f t="shared" si="13"/>
        <v>0</v>
      </c>
      <c r="D119">
        <f t="shared" si="17"/>
        <v>0</v>
      </c>
      <c r="E119">
        <f t="shared" si="16"/>
        <v>0</v>
      </c>
    </row>
    <row r="120" spans="1:5" x14ac:dyDescent="0.2">
      <c r="A120">
        <f t="shared" si="15"/>
        <v>1500000000</v>
      </c>
      <c r="B120">
        <f t="shared" si="12"/>
        <v>0</v>
      </c>
      <c r="C120">
        <f t="shared" si="13"/>
        <v>0</v>
      </c>
      <c r="D120">
        <f t="shared" si="17"/>
        <v>0</v>
      </c>
      <c r="E120">
        <f t="shared" si="16"/>
        <v>0</v>
      </c>
    </row>
    <row r="121" spans="1:5" x14ac:dyDescent="0.2">
      <c r="A121">
        <f t="shared" si="15"/>
        <v>1800000000</v>
      </c>
      <c r="B121">
        <f t="shared" si="12"/>
        <v>0</v>
      </c>
      <c r="C121">
        <f t="shared" si="13"/>
        <v>0</v>
      </c>
      <c r="D121">
        <f t="shared" si="17"/>
        <v>0</v>
      </c>
      <c r="E121">
        <f t="shared" si="16"/>
        <v>0</v>
      </c>
    </row>
    <row r="122" spans="1:5" x14ac:dyDescent="0.2">
      <c r="A122">
        <f t="shared" si="15"/>
        <v>2200000000</v>
      </c>
      <c r="B122">
        <f t="shared" si="12"/>
        <v>0</v>
      </c>
      <c r="C122">
        <f t="shared" si="13"/>
        <v>0</v>
      </c>
      <c r="D122">
        <f t="shared" si="17"/>
        <v>0</v>
      </c>
      <c r="E122">
        <f t="shared" si="16"/>
        <v>0</v>
      </c>
    </row>
    <row r="123" spans="1:5" x14ac:dyDescent="0.2">
      <c r="A123">
        <f t="shared" si="15"/>
        <v>2700000000</v>
      </c>
      <c r="B123">
        <f t="shared" si="12"/>
        <v>0</v>
      </c>
      <c r="C123">
        <f t="shared" si="13"/>
        <v>0</v>
      </c>
      <c r="D123">
        <f t="shared" si="17"/>
        <v>0</v>
      </c>
      <c r="E123">
        <f t="shared" si="16"/>
        <v>0</v>
      </c>
    </row>
    <row r="124" spans="1:5" x14ac:dyDescent="0.2">
      <c r="A124">
        <f t="shared" si="15"/>
        <v>3300000000</v>
      </c>
      <c r="B124">
        <f t="shared" si="12"/>
        <v>0</v>
      </c>
      <c r="C124">
        <f t="shared" si="13"/>
        <v>0</v>
      </c>
      <c r="D124">
        <f t="shared" si="17"/>
        <v>0</v>
      </c>
      <c r="E124">
        <f t="shared" si="16"/>
        <v>0</v>
      </c>
    </row>
    <row r="125" spans="1:5" x14ac:dyDescent="0.2">
      <c r="A125">
        <f t="shared" si="15"/>
        <v>3900000000</v>
      </c>
      <c r="B125">
        <f t="shared" si="12"/>
        <v>0</v>
      </c>
      <c r="C125">
        <f t="shared" si="13"/>
        <v>0</v>
      </c>
      <c r="D125">
        <f t="shared" si="17"/>
        <v>0</v>
      </c>
      <c r="E125">
        <f t="shared" si="16"/>
        <v>0</v>
      </c>
    </row>
    <row r="126" spans="1:5" x14ac:dyDescent="0.2">
      <c r="A126">
        <f t="shared" si="15"/>
        <v>4700000000</v>
      </c>
      <c r="B126">
        <f t="shared" si="12"/>
        <v>0</v>
      </c>
      <c r="C126">
        <f t="shared" si="13"/>
        <v>0</v>
      </c>
      <c r="D126">
        <f t="shared" si="17"/>
        <v>0</v>
      </c>
      <c r="E126">
        <f t="shared" si="16"/>
        <v>0</v>
      </c>
    </row>
    <row r="127" spans="1:5" x14ac:dyDescent="0.2">
      <c r="A127">
        <f t="shared" si="15"/>
        <v>5600000000</v>
      </c>
      <c r="B127">
        <f t="shared" si="12"/>
        <v>0</v>
      </c>
      <c r="C127">
        <f t="shared" si="13"/>
        <v>0</v>
      </c>
      <c r="D127">
        <f t="shared" si="17"/>
        <v>0</v>
      </c>
      <c r="E127">
        <f t="shared" si="16"/>
        <v>0</v>
      </c>
    </row>
    <row r="128" spans="1:5" x14ac:dyDescent="0.2">
      <c r="A128">
        <f t="shared" si="15"/>
        <v>6800000000</v>
      </c>
      <c r="B128">
        <f t="shared" si="12"/>
        <v>0</v>
      </c>
      <c r="C128">
        <f t="shared" si="13"/>
        <v>0</v>
      </c>
      <c r="D128">
        <f t="shared" si="17"/>
        <v>0</v>
      </c>
      <c r="E128">
        <f t="shared" si="16"/>
        <v>0</v>
      </c>
    </row>
    <row r="129" spans="1:5" x14ac:dyDescent="0.2">
      <c r="A129">
        <f t="shared" si="15"/>
        <v>8200000000</v>
      </c>
      <c r="B129">
        <f t="shared" si="12"/>
        <v>0</v>
      </c>
      <c r="C129">
        <f t="shared" si="13"/>
        <v>0</v>
      </c>
      <c r="D129">
        <f t="shared" si="17"/>
        <v>0</v>
      </c>
      <c r="E129">
        <f t="shared" si="16"/>
        <v>0</v>
      </c>
    </row>
    <row r="130" spans="1:5" x14ac:dyDescent="0.2">
      <c r="A130">
        <f t="shared" si="15"/>
        <v>10000000000</v>
      </c>
      <c r="B130">
        <f t="shared" si="12"/>
        <v>0</v>
      </c>
      <c r="C130">
        <f t="shared" si="13"/>
        <v>0</v>
      </c>
      <c r="D130">
        <f t="shared" si="17"/>
        <v>0</v>
      </c>
      <c r="E130">
        <f t="shared" si="16"/>
        <v>0</v>
      </c>
    </row>
    <row r="131" spans="1:5" x14ac:dyDescent="0.2">
      <c r="A131">
        <f t="shared" si="15"/>
        <v>12000000000</v>
      </c>
      <c r="B131">
        <f t="shared" si="12"/>
        <v>0</v>
      </c>
      <c r="C131">
        <f t="shared" si="13"/>
        <v>0</v>
      </c>
      <c r="D131">
        <f t="shared" si="17"/>
        <v>0</v>
      </c>
      <c r="E131">
        <f t="shared" si="16"/>
        <v>0</v>
      </c>
    </row>
    <row r="132" spans="1:5" x14ac:dyDescent="0.2">
      <c r="A132">
        <f t="shared" si="15"/>
        <v>15000000000</v>
      </c>
      <c r="B132">
        <f t="shared" si="12"/>
        <v>0</v>
      </c>
      <c r="C132">
        <f t="shared" si="13"/>
        <v>0</v>
      </c>
      <c r="D132">
        <f t="shared" si="17"/>
        <v>0</v>
      </c>
      <c r="E132">
        <f t="shared" si="16"/>
        <v>0</v>
      </c>
    </row>
    <row r="133" spans="1:5" x14ac:dyDescent="0.2">
      <c r="A133">
        <f t="shared" si="15"/>
        <v>18000000000</v>
      </c>
      <c r="B133">
        <f t="shared" si="12"/>
        <v>0</v>
      </c>
      <c r="C133">
        <f t="shared" si="13"/>
        <v>0</v>
      </c>
      <c r="D133">
        <f t="shared" si="17"/>
        <v>0</v>
      </c>
      <c r="E133">
        <f t="shared" si="16"/>
        <v>0</v>
      </c>
    </row>
    <row r="134" spans="1:5" x14ac:dyDescent="0.2">
      <c r="A134">
        <f t="shared" si="15"/>
        <v>22000000000</v>
      </c>
      <c r="B134">
        <f t="shared" si="12"/>
        <v>0</v>
      </c>
      <c r="C134">
        <f t="shared" ref="C134:D159" si="18">IF(IF((C$3*10^12-$A135)*(C$3*10^12-$A134)*-1&lt;0,0,1)*IF(ABS(C$3*10^12-$A135)&gt;(C$3*10^12-$A134),$A134,$A135)=C135,0,IF((C$3*10^12-$A135)*(C$3*10^12-$A134)*-1&lt;0,0,1)*IF(ABS(C$3*10^12-$A135)&gt;(C$3*10^12-$A134),$A134,$A135))</f>
        <v>0</v>
      </c>
      <c r="D134">
        <f t="shared" si="17"/>
        <v>0</v>
      </c>
      <c r="E134">
        <f t="shared" ref="E134:E159" si="19">IF(IF((E$3*10^12-$A135)*(E$3*10^12-$A134)*-1&lt;0,0,1)*IF(ABS(E$3*10^12-$A135)&gt;(E$3*10^12-$A134),$A134,$A135)=E135,0,IF((E$3*10^12-$A135)*(E$3*10^12-$A134)*-1&lt;0,0,1)*IF(ABS(E$3*10^12-$A135)&gt;(E$3*10^12-$A134),$A134,$A135))</f>
        <v>0</v>
      </c>
    </row>
    <row r="135" spans="1:5" x14ac:dyDescent="0.2">
      <c r="A135">
        <f t="shared" si="15"/>
        <v>27000000000</v>
      </c>
      <c r="B135">
        <f t="shared" ref="B135:B159" si="20">IF(IF((B$3*10^12-$A136)*(B$3*10^12-$A135)*-1&lt;0,0,1)*IF(ABS(B$3*10^12-$A136)&gt;(B$3*10^12-$A135),$A135,$A136)=B136,0,IF((B$3*10^12-$A136)*(B$3*10^12-$A135)*-1&lt;0,0,1)*IF(ABS(B$3*10^12-$A136)&gt;(B$3*10^12-$A135),$A135,$A136))</f>
        <v>0</v>
      </c>
      <c r="C135">
        <f t="shared" si="18"/>
        <v>0</v>
      </c>
      <c r="D135">
        <f t="shared" si="18"/>
        <v>0</v>
      </c>
      <c r="E135">
        <f t="shared" si="19"/>
        <v>0</v>
      </c>
    </row>
    <row r="136" spans="1:5" x14ac:dyDescent="0.2">
      <c r="A136">
        <f t="shared" si="15"/>
        <v>33000000000</v>
      </c>
      <c r="B136">
        <f t="shared" si="20"/>
        <v>0</v>
      </c>
      <c r="C136">
        <f t="shared" si="18"/>
        <v>0</v>
      </c>
      <c r="D136">
        <f t="shared" si="18"/>
        <v>0</v>
      </c>
      <c r="E136">
        <f t="shared" si="19"/>
        <v>0</v>
      </c>
    </row>
    <row r="137" spans="1:5" x14ac:dyDescent="0.2">
      <c r="A137">
        <f t="shared" si="15"/>
        <v>39000000000</v>
      </c>
      <c r="B137">
        <f t="shared" si="20"/>
        <v>0</v>
      </c>
      <c r="C137">
        <f t="shared" si="18"/>
        <v>0</v>
      </c>
      <c r="D137">
        <f t="shared" si="18"/>
        <v>0</v>
      </c>
      <c r="E137">
        <f t="shared" si="19"/>
        <v>0</v>
      </c>
    </row>
    <row r="138" spans="1:5" x14ac:dyDescent="0.2">
      <c r="A138">
        <f t="shared" si="15"/>
        <v>47000000000</v>
      </c>
      <c r="B138">
        <f t="shared" si="20"/>
        <v>0</v>
      </c>
      <c r="C138">
        <f t="shared" si="18"/>
        <v>0</v>
      </c>
      <c r="D138">
        <f t="shared" si="18"/>
        <v>0</v>
      </c>
      <c r="E138">
        <f t="shared" si="19"/>
        <v>0</v>
      </c>
    </row>
    <row r="139" spans="1:5" x14ac:dyDescent="0.2">
      <c r="A139">
        <f t="shared" si="15"/>
        <v>56000000000</v>
      </c>
      <c r="B139">
        <f t="shared" si="20"/>
        <v>0</v>
      </c>
      <c r="C139">
        <f t="shared" si="18"/>
        <v>0</v>
      </c>
      <c r="D139">
        <f t="shared" si="18"/>
        <v>0</v>
      </c>
      <c r="E139">
        <f t="shared" si="19"/>
        <v>0</v>
      </c>
    </row>
    <row r="140" spans="1:5" x14ac:dyDescent="0.2">
      <c r="A140">
        <f t="shared" si="15"/>
        <v>68000000000</v>
      </c>
      <c r="B140">
        <f t="shared" si="20"/>
        <v>0</v>
      </c>
      <c r="C140">
        <f t="shared" si="18"/>
        <v>0</v>
      </c>
      <c r="D140">
        <f t="shared" si="18"/>
        <v>0</v>
      </c>
      <c r="E140">
        <f t="shared" si="19"/>
        <v>0</v>
      </c>
    </row>
    <row r="141" spans="1:5" x14ac:dyDescent="0.2">
      <c r="A141">
        <f t="shared" si="15"/>
        <v>82000000000</v>
      </c>
      <c r="B141">
        <f t="shared" si="20"/>
        <v>0</v>
      </c>
      <c r="C141">
        <f t="shared" si="18"/>
        <v>0</v>
      </c>
      <c r="D141">
        <f t="shared" si="18"/>
        <v>0</v>
      </c>
      <c r="E141">
        <f t="shared" si="19"/>
        <v>0</v>
      </c>
    </row>
    <row r="142" spans="1:5" x14ac:dyDescent="0.2">
      <c r="A142">
        <f t="shared" si="15"/>
        <v>100000000000</v>
      </c>
      <c r="B142">
        <f t="shared" si="20"/>
        <v>0</v>
      </c>
      <c r="C142">
        <f t="shared" si="18"/>
        <v>0</v>
      </c>
      <c r="D142">
        <f t="shared" si="18"/>
        <v>0</v>
      </c>
      <c r="E142">
        <f t="shared" si="19"/>
        <v>0</v>
      </c>
    </row>
    <row r="143" spans="1:5" x14ac:dyDescent="0.2">
      <c r="A143">
        <f t="shared" si="15"/>
        <v>120000000000</v>
      </c>
      <c r="B143">
        <f t="shared" si="20"/>
        <v>0</v>
      </c>
      <c r="C143">
        <f t="shared" si="18"/>
        <v>0</v>
      </c>
      <c r="D143">
        <f t="shared" si="18"/>
        <v>0</v>
      </c>
      <c r="E143">
        <f t="shared" si="19"/>
        <v>0</v>
      </c>
    </row>
    <row r="144" spans="1:5" x14ac:dyDescent="0.2">
      <c r="A144">
        <f t="shared" si="15"/>
        <v>150000000000</v>
      </c>
      <c r="B144">
        <f t="shared" si="20"/>
        <v>0</v>
      </c>
      <c r="C144">
        <f t="shared" si="18"/>
        <v>0</v>
      </c>
      <c r="D144">
        <f t="shared" si="18"/>
        <v>0</v>
      </c>
      <c r="E144">
        <f t="shared" si="19"/>
        <v>0</v>
      </c>
    </row>
    <row r="145" spans="1:5" x14ac:dyDescent="0.2">
      <c r="A145">
        <f t="shared" si="15"/>
        <v>180000000000</v>
      </c>
      <c r="B145">
        <f t="shared" si="20"/>
        <v>0</v>
      </c>
      <c r="C145">
        <f t="shared" si="18"/>
        <v>0</v>
      </c>
      <c r="D145">
        <f t="shared" si="18"/>
        <v>0</v>
      </c>
      <c r="E145">
        <f t="shared" si="19"/>
        <v>0</v>
      </c>
    </row>
    <row r="146" spans="1:5" x14ac:dyDescent="0.2">
      <c r="A146">
        <f t="shared" si="15"/>
        <v>220000000000</v>
      </c>
      <c r="B146">
        <f t="shared" si="20"/>
        <v>0</v>
      </c>
      <c r="C146">
        <f t="shared" si="18"/>
        <v>0</v>
      </c>
      <c r="D146">
        <f t="shared" si="18"/>
        <v>0</v>
      </c>
      <c r="E146">
        <f t="shared" si="19"/>
        <v>0</v>
      </c>
    </row>
    <row r="147" spans="1:5" x14ac:dyDescent="0.2">
      <c r="A147">
        <f t="shared" si="15"/>
        <v>270000000000</v>
      </c>
      <c r="B147">
        <f t="shared" si="20"/>
        <v>0</v>
      </c>
      <c r="C147">
        <f t="shared" si="18"/>
        <v>0</v>
      </c>
      <c r="D147">
        <f t="shared" si="18"/>
        <v>0</v>
      </c>
      <c r="E147">
        <f t="shared" si="19"/>
        <v>0</v>
      </c>
    </row>
    <row r="148" spans="1:5" x14ac:dyDescent="0.2">
      <c r="A148">
        <f t="shared" si="15"/>
        <v>330000000000</v>
      </c>
      <c r="B148">
        <f t="shared" si="20"/>
        <v>0</v>
      </c>
      <c r="C148">
        <f t="shared" si="18"/>
        <v>0</v>
      </c>
      <c r="D148">
        <f t="shared" si="18"/>
        <v>0</v>
      </c>
      <c r="E148">
        <f t="shared" si="19"/>
        <v>0</v>
      </c>
    </row>
    <row r="149" spans="1:5" x14ac:dyDescent="0.2">
      <c r="A149">
        <f t="shared" si="15"/>
        <v>390000000000</v>
      </c>
      <c r="B149">
        <f t="shared" si="20"/>
        <v>0</v>
      </c>
      <c r="C149">
        <f t="shared" si="18"/>
        <v>0</v>
      </c>
      <c r="D149">
        <f t="shared" si="18"/>
        <v>0</v>
      </c>
      <c r="E149">
        <f t="shared" si="19"/>
        <v>0</v>
      </c>
    </row>
    <row r="150" spans="1:5" x14ac:dyDescent="0.2">
      <c r="A150">
        <f t="shared" si="15"/>
        <v>470000000000</v>
      </c>
      <c r="B150">
        <f t="shared" si="20"/>
        <v>0</v>
      </c>
      <c r="C150">
        <f t="shared" si="18"/>
        <v>0</v>
      </c>
      <c r="D150">
        <f t="shared" si="18"/>
        <v>0</v>
      </c>
      <c r="E150">
        <f t="shared" si="19"/>
        <v>0</v>
      </c>
    </row>
    <row r="151" spans="1:5" x14ac:dyDescent="0.2">
      <c r="A151">
        <f t="shared" si="15"/>
        <v>560000000000</v>
      </c>
      <c r="B151">
        <f t="shared" si="20"/>
        <v>0</v>
      </c>
      <c r="C151">
        <f t="shared" si="18"/>
        <v>0</v>
      </c>
      <c r="D151">
        <f t="shared" si="18"/>
        <v>0</v>
      </c>
      <c r="E151">
        <f t="shared" si="19"/>
        <v>0</v>
      </c>
    </row>
    <row r="152" spans="1:5" x14ac:dyDescent="0.2">
      <c r="A152">
        <f t="shared" si="15"/>
        <v>680000000000</v>
      </c>
      <c r="B152">
        <f t="shared" si="20"/>
        <v>0</v>
      </c>
      <c r="C152">
        <f t="shared" si="18"/>
        <v>0</v>
      </c>
      <c r="D152">
        <f t="shared" si="18"/>
        <v>0</v>
      </c>
      <c r="E152">
        <f t="shared" si="19"/>
        <v>0</v>
      </c>
    </row>
    <row r="153" spans="1:5" x14ac:dyDescent="0.2">
      <c r="A153">
        <f t="shared" si="15"/>
        <v>820000000000</v>
      </c>
      <c r="B153">
        <f t="shared" si="20"/>
        <v>0</v>
      </c>
      <c r="C153">
        <f t="shared" si="18"/>
        <v>0</v>
      </c>
      <c r="D153">
        <f t="shared" si="18"/>
        <v>0</v>
      </c>
      <c r="E153">
        <f t="shared" si="19"/>
        <v>0</v>
      </c>
    </row>
    <row r="154" spans="1:5" x14ac:dyDescent="0.2">
      <c r="A154">
        <f t="shared" si="15"/>
        <v>1000000000000</v>
      </c>
      <c r="B154">
        <f t="shared" si="20"/>
        <v>0</v>
      </c>
      <c r="C154">
        <f t="shared" si="18"/>
        <v>0</v>
      </c>
      <c r="D154">
        <f t="shared" si="18"/>
        <v>0</v>
      </c>
      <c r="E154">
        <f t="shared" si="19"/>
        <v>0</v>
      </c>
    </row>
    <row r="155" spans="1:5" x14ac:dyDescent="0.2">
      <c r="A155">
        <f t="shared" si="15"/>
        <v>1200000000000</v>
      </c>
      <c r="B155">
        <f t="shared" si="20"/>
        <v>0</v>
      </c>
      <c r="C155">
        <f t="shared" si="18"/>
        <v>0</v>
      </c>
      <c r="D155">
        <f t="shared" si="18"/>
        <v>0</v>
      </c>
      <c r="E155">
        <f t="shared" si="19"/>
        <v>0</v>
      </c>
    </row>
    <row r="156" spans="1:5" x14ac:dyDescent="0.2">
      <c r="A156">
        <f t="shared" si="15"/>
        <v>1500000000000</v>
      </c>
      <c r="B156">
        <f t="shared" si="20"/>
        <v>0</v>
      </c>
      <c r="C156">
        <f t="shared" si="18"/>
        <v>0</v>
      </c>
      <c r="D156">
        <f t="shared" si="18"/>
        <v>0</v>
      </c>
      <c r="E156">
        <f t="shared" si="19"/>
        <v>0</v>
      </c>
    </row>
    <row r="157" spans="1:5" x14ac:dyDescent="0.2">
      <c r="A157">
        <f t="shared" si="15"/>
        <v>1800000000000</v>
      </c>
      <c r="B157">
        <f t="shared" si="20"/>
        <v>0</v>
      </c>
      <c r="C157">
        <f t="shared" si="18"/>
        <v>0</v>
      </c>
      <c r="D157">
        <f t="shared" si="18"/>
        <v>0</v>
      </c>
      <c r="E157">
        <f t="shared" si="19"/>
        <v>0</v>
      </c>
    </row>
    <row r="158" spans="1:5" x14ac:dyDescent="0.2">
      <c r="A158">
        <f t="shared" si="15"/>
        <v>2200000000000</v>
      </c>
      <c r="B158">
        <f t="shared" si="20"/>
        <v>0</v>
      </c>
      <c r="C158">
        <f t="shared" si="18"/>
        <v>0</v>
      </c>
      <c r="D158">
        <f t="shared" si="18"/>
        <v>0</v>
      </c>
      <c r="E158">
        <f t="shared" si="19"/>
        <v>0</v>
      </c>
    </row>
    <row r="159" spans="1:5" x14ac:dyDescent="0.2">
      <c r="A159" s="16">
        <f t="shared" si="15"/>
        <v>2700000000000</v>
      </c>
      <c r="B159">
        <f t="shared" si="20"/>
        <v>2700000000000</v>
      </c>
      <c r="C159">
        <f t="shared" si="18"/>
        <v>0</v>
      </c>
      <c r="D159">
        <f t="shared" si="18"/>
        <v>0</v>
      </c>
      <c r="E159">
        <f t="shared" si="19"/>
        <v>2700000000000</v>
      </c>
    </row>
  </sheetData>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sheetPr>
  <dimension ref="A1:Q56"/>
  <sheetViews>
    <sheetView topLeftCell="A13" zoomScaleNormal="100" workbookViewId="0">
      <selection activeCell="C41" sqref="C41"/>
    </sheetView>
  </sheetViews>
  <sheetFormatPr defaultRowHeight="12.75" x14ac:dyDescent="0.2"/>
  <cols>
    <col min="1" max="1" width="9.5703125" style="115" customWidth="1"/>
    <col min="2" max="2" width="11.42578125" style="115" customWidth="1"/>
    <col min="3" max="3" width="13.42578125" style="115" customWidth="1"/>
    <col min="4" max="4" width="20.140625" style="115" customWidth="1"/>
    <col min="5" max="5" width="17.28515625" style="115" customWidth="1"/>
    <col min="6" max="6" width="13.5703125" style="115" customWidth="1"/>
    <col min="7" max="7" width="16.140625" style="115" customWidth="1"/>
    <col min="8" max="8" width="18.140625" style="115" customWidth="1"/>
    <col min="9" max="9" width="10.85546875" style="115" customWidth="1"/>
    <col min="10" max="10" width="15.85546875" style="115" customWidth="1"/>
    <col min="11" max="11" width="11.85546875" style="472" customWidth="1"/>
    <col min="12" max="12" width="7.85546875" style="471" customWidth="1"/>
    <col min="13" max="13" width="11.7109375" style="115" customWidth="1"/>
    <col min="14" max="16" width="9.140625" style="115"/>
    <col min="17" max="17" width="9.140625" style="506"/>
    <col min="18" max="254" width="9.140625" style="115"/>
    <col min="255" max="255" width="8.7109375" style="115" bestFit="1" customWidth="1"/>
    <col min="256" max="256" width="13.28515625" style="115" customWidth="1"/>
    <col min="257" max="257" width="16.140625" style="115" bestFit="1" customWidth="1"/>
    <col min="258" max="258" width="23.5703125" style="115" customWidth="1"/>
    <col min="259" max="259" width="17.28515625" style="115" customWidth="1"/>
    <col min="260" max="260" width="20.5703125" style="115" bestFit="1" customWidth="1"/>
    <col min="261" max="261" width="17.140625" style="115" customWidth="1"/>
    <col min="262" max="262" width="21.85546875" style="115" bestFit="1" customWidth="1"/>
    <col min="263" max="263" width="17.140625" style="115" bestFit="1" customWidth="1"/>
    <col min="264" max="264" width="18.140625" style="115" bestFit="1" customWidth="1"/>
    <col min="265" max="265" width="26.42578125" style="115" customWidth="1"/>
    <col min="266" max="510" width="9.140625" style="115"/>
    <col min="511" max="511" width="8.7109375" style="115" bestFit="1" customWidth="1"/>
    <col min="512" max="512" width="13.28515625" style="115" customWidth="1"/>
    <col min="513" max="513" width="16.140625" style="115" bestFit="1" customWidth="1"/>
    <col min="514" max="514" width="23.5703125" style="115" customWidth="1"/>
    <col min="515" max="515" width="17.28515625" style="115" customWidth="1"/>
    <col min="516" max="516" width="20.5703125" style="115" bestFit="1" customWidth="1"/>
    <col min="517" max="517" width="17.140625" style="115" customWidth="1"/>
    <col min="518" max="518" width="21.85546875" style="115" bestFit="1" customWidth="1"/>
    <col min="519" max="519" width="17.140625" style="115" bestFit="1" customWidth="1"/>
    <col min="520" max="520" width="18.140625" style="115" bestFit="1" customWidth="1"/>
    <col min="521" max="521" width="26.42578125" style="115" customWidth="1"/>
    <col min="522" max="766" width="9.140625" style="115"/>
    <col min="767" max="767" width="8.7109375" style="115" bestFit="1" customWidth="1"/>
    <col min="768" max="768" width="13.28515625" style="115" customWidth="1"/>
    <col min="769" max="769" width="16.140625" style="115" bestFit="1" customWidth="1"/>
    <col min="770" max="770" width="23.5703125" style="115" customWidth="1"/>
    <col min="771" max="771" width="17.28515625" style="115" customWidth="1"/>
    <col min="772" max="772" width="20.5703125" style="115" bestFit="1" customWidth="1"/>
    <col min="773" max="773" width="17.140625" style="115" customWidth="1"/>
    <col min="774" max="774" width="21.85546875" style="115" bestFit="1" customWidth="1"/>
    <col min="775" max="775" width="17.140625" style="115" bestFit="1" customWidth="1"/>
    <col min="776" max="776" width="18.140625" style="115" bestFit="1" customWidth="1"/>
    <col min="777" max="777" width="26.42578125" style="115" customWidth="1"/>
    <col min="778" max="1022" width="9.140625" style="115"/>
    <col min="1023" max="1023" width="8.7109375" style="115" bestFit="1" customWidth="1"/>
    <col min="1024" max="1024" width="13.28515625" style="115" customWidth="1"/>
    <col min="1025" max="1025" width="16.140625" style="115" bestFit="1" customWidth="1"/>
    <col min="1026" max="1026" width="23.5703125" style="115" customWidth="1"/>
    <col min="1027" max="1027" width="17.28515625" style="115" customWidth="1"/>
    <col min="1028" max="1028" width="20.5703125" style="115" bestFit="1" customWidth="1"/>
    <col min="1029" max="1029" width="17.140625" style="115" customWidth="1"/>
    <col min="1030" max="1030" width="21.85546875" style="115" bestFit="1" customWidth="1"/>
    <col min="1031" max="1031" width="17.140625" style="115" bestFit="1" customWidth="1"/>
    <col min="1032" max="1032" width="18.140625" style="115" bestFit="1" customWidth="1"/>
    <col min="1033" max="1033" width="26.42578125" style="115" customWidth="1"/>
    <col min="1034" max="1278" width="9.140625" style="115"/>
    <col min="1279" max="1279" width="8.7109375" style="115" bestFit="1" customWidth="1"/>
    <col min="1280" max="1280" width="13.28515625" style="115" customWidth="1"/>
    <col min="1281" max="1281" width="16.140625" style="115" bestFit="1" customWidth="1"/>
    <col min="1282" max="1282" width="23.5703125" style="115" customWidth="1"/>
    <col min="1283" max="1283" width="17.28515625" style="115" customWidth="1"/>
    <col min="1284" max="1284" width="20.5703125" style="115" bestFit="1" customWidth="1"/>
    <col min="1285" max="1285" width="17.140625" style="115" customWidth="1"/>
    <col min="1286" max="1286" width="21.85546875" style="115" bestFit="1" customWidth="1"/>
    <col min="1287" max="1287" width="17.140625" style="115" bestFit="1" customWidth="1"/>
    <col min="1288" max="1288" width="18.140625" style="115" bestFit="1" customWidth="1"/>
    <col min="1289" max="1289" width="26.42578125" style="115" customWidth="1"/>
    <col min="1290" max="1534" width="9.140625" style="115"/>
    <col min="1535" max="1535" width="8.7109375" style="115" bestFit="1" customWidth="1"/>
    <col min="1536" max="1536" width="13.28515625" style="115" customWidth="1"/>
    <col min="1537" max="1537" width="16.140625" style="115" bestFit="1" customWidth="1"/>
    <col min="1538" max="1538" width="23.5703125" style="115" customWidth="1"/>
    <col min="1539" max="1539" width="17.28515625" style="115" customWidth="1"/>
    <col min="1540" max="1540" width="20.5703125" style="115" bestFit="1" customWidth="1"/>
    <col min="1541" max="1541" width="17.140625" style="115" customWidth="1"/>
    <col min="1542" max="1542" width="21.85546875" style="115" bestFit="1" customWidth="1"/>
    <col min="1543" max="1543" width="17.140625" style="115" bestFit="1" customWidth="1"/>
    <col min="1544" max="1544" width="18.140625" style="115" bestFit="1" customWidth="1"/>
    <col min="1545" max="1545" width="26.42578125" style="115" customWidth="1"/>
    <col min="1546" max="1790" width="9.140625" style="115"/>
    <col min="1791" max="1791" width="8.7109375" style="115" bestFit="1" customWidth="1"/>
    <col min="1792" max="1792" width="13.28515625" style="115" customWidth="1"/>
    <col min="1793" max="1793" width="16.140625" style="115" bestFit="1" customWidth="1"/>
    <col min="1794" max="1794" width="23.5703125" style="115" customWidth="1"/>
    <col min="1795" max="1795" width="17.28515625" style="115" customWidth="1"/>
    <col min="1796" max="1796" width="20.5703125" style="115" bestFit="1" customWidth="1"/>
    <col min="1797" max="1797" width="17.140625" style="115" customWidth="1"/>
    <col min="1798" max="1798" width="21.85546875" style="115" bestFit="1" customWidth="1"/>
    <col min="1799" max="1799" width="17.140625" style="115" bestFit="1" customWidth="1"/>
    <col min="1800" max="1800" width="18.140625" style="115" bestFit="1" customWidth="1"/>
    <col min="1801" max="1801" width="26.42578125" style="115" customWidth="1"/>
    <col min="1802" max="2046" width="9.140625" style="115"/>
    <col min="2047" max="2047" width="8.7109375" style="115" bestFit="1" customWidth="1"/>
    <col min="2048" max="2048" width="13.28515625" style="115" customWidth="1"/>
    <col min="2049" max="2049" width="16.140625" style="115" bestFit="1" customWidth="1"/>
    <col min="2050" max="2050" width="23.5703125" style="115" customWidth="1"/>
    <col min="2051" max="2051" width="17.28515625" style="115" customWidth="1"/>
    <col min="2052" max="2052" width="20.5703125" style="115" bestFit="1" customWidth="1"/>
    <col min="2053" max="2053" width="17.140625" style="115" customWidth="1"/>
    <col min="2054" max="2054" width="21.85546875" style="115" bestFit="1" customWidth="1"/>
    <col min="2055" max="2055" width="17.140625" style="115" bestFit="1" customWidth="1"/>
    <col min="2056" max="2056" width="18.140625" style="115" bestFit="1" customWidth="1"/>
    <col min="2057" max="2057" width="26.42578125" style="115" customWidth="1"/>
    <col min="2058" max="2302" width="9.140625" style="115"/>
    <col min="2303" max="2303" width="8.7109375" style="115" bestFit="1" customWidth="1"/>
    <col min="2304" max="2304" width="13.28515625" style="115" customWidth="1"/>
    <col min="2305" max="2305" width="16.140625" style="115" bestFit="1" customWidth="1"/>
    <col min="2306" max="2306" width="23.5703125" style="115" customWidth="1"/>
    <col min="2307" max="2307" width="17.28515625" style="115" customWidth="1"/>
    <col min="2308" max="2308" width="20.5703125" style="115" bestFit="1" customWidth="1"/>
    <col min="2309" max="2309" width="17.140625" style="115" customWidth="1"/>
    <col min="2310" max="2310" width="21.85546875" style="115" bestFit="1" customWidth="1"/>
    <col min="2311" max="2311" width="17.140625" style="115" bestFit="1" customWidth="1"/>
    <col min="2312" max="2312" width="18.140625" style="115" bestFit="1" customWidth="1"/>
    <col min="2313" max="2313" width="26.42578125" style="115" customWidth="1"/>
    <col min="2314" max="2558" width="9.140625" style="115"/>
    <col min="2559" max="2559" width="8.7109375" style="115" bestFit="1" customWidth="1"/>
    <col min="2560" max="2560" width="13.28515625" style="115" customWidth="1"/>
    <col min="2561" max="2561" width="16.140625" style="115" bestFit="1" customWidth="1"/>
    <col min="2562" max="2562" width="23.5703125" style="115" customWidth="1"/>
    <col min="2563" max="2563" width="17.28515625" style="115" customWidth="1"/>
    <col min="2564" max="2564" width="20.5703125" style="115" bestFit="1" customWidth="1"/>
    <col min="2565" max="2565" width="17.140625" style="115" customWidth="1"/>
    <col min="2566" max="2566" width="21.85546875" style="115" bestFit="1" customWidth="1"/>
    <col min="2567" max="2567" width="17.140625" style="115" bestFit="1" customWidth="1"/>
    <col min="2568" max="2568" width="18.140625" style="115" bestFit="1" customWidth="1"/>
    <col min="2569" max="2569" width="26.42578125" style="115" customWidth="1"/>
    <col min="2570" max="2814" width="9.140625" style="115"/>
    <col min="2815" max="2815" width="8.7109375" style="115" bestFit="1" customWidth="1"/>
    <col min="2816" max="2816" width="13.28515625" style="115" customWidth="1"/>
    <col min="2817" max="2817" width="16.140625" style="115" bestFit="1" customWidth="1"/>
    <col min="2818" max="2818" width="23.5703125" style="115" customWidth="1"/>
    <col min="2819" max="2819" width="17.28515625" style="115" customWidth="1"/>
    <col min="2820" max="2820" width="20.5703125" style="115" bestFit="1" customWidth="1"/>
    <col min="2821" max="2821" width="17.140625" style="115" customWidth="1"/>
    <col min="2822" max="2822" width="21.85546875" style="115" bestFit="1" customWidth="1"/>
    <col min="2823" max="2823" width="17.140625" style="115" bestFit="1" customWidth="1"/>
    <col min="2824" max="2824" width="18.140625" style="115" bestFit="1" customWidth="1"/>
    <col min="2825" max="2825" width="26.42578125" style="115" customWidth="1"/>
    <col min="2826" max="3070" width="9.140625" style="115"/>
    <col min="3071" max="3071" width="8.7109375" style="115" bestFit="1" customWidth="1"/>
    <col min="3072" max="3072" width="13.28515625" style="115" customWidth="1"/>
    <col min="3073" max="3073" width="16.140625" style="115" bestFit="1" customWidth="1"/>
    <col min="3074" max="3074" width="23.5703125" style="115" customWidth="1"/>
    <col min="3075" max="3075" width="17.28515625" style="115" customWidth="1"/>
    <col min="3076" max="3076" width="20.5703125" style="115" bestFit="1" customWidth="1"/>
    <col min="3077" max="3077" width="17.140625" style="115" customWidth="1"/>
    <col min="3078" max="3078" width="21.85546875" style="115" bestFit="1" customWidth="1"/>
    <col min="3079" max="3079" width="17.140625" style="115" bestFit="1" customWidth="1"/>
    <col min="3080" max="3080" width="18.140625" style="115" bestFit="1" customWidth="1"/>
    <col min="3081" max="3081" width="26.42578125" style="115" customWidth="1"/>
    <col min="3082" max="3326" width="9.140625" style="115"/>
    <col min="3327" max="3327" width="8.7109375" style="115" bestFit="1" customWidth="1"/>
    <col min="3328" max="3328" width="13.28515625" style="115" customWidth="1"/>
    <col min="3329" max="3329" width="16.140625" style="115" bestFit="1" customWidth="1"/>
    <col min="3330" max="3330" width="23.5703125" style="115" customWidth="1"/>
    <col min="3331" max="3331" width="17.28515625" style="115" customWidth="1"/>
    <col min="3332" max="3332" width="20.5703125" style="115" bestFit="1" customWidth="1"/>
    <col min="3333" max="3333" width="17.140625" style="115" customWidth="1"/>
    <col min="3334" max="3334" width="21.85546875" style="115" bestFit="1" customWidth="1"/>
    <col min="3335" max="3335" width="17.140625" style="115" bestFit="1" customWidth="1"/>
    <col min="3336" max="3336" width="18.140625" style="115" bestFit="1" customWidth="1"/>
    <col min="3337" max="3337" width="26.42578125" style="115" customWidth="1"/>
    <col min="3338" max="3582" width="9.140625" style="115"/>
    <col min="3583" max="3583" width="8.7109375" style="115" bestFit="1" customWidth="1"/>
    <col min="3584" max="3584" width="13.28515625" style="115" customWidth="1"/>
    <col min="3585" max="3585" width="16.140625" style="115" bestFit="1" customWidth="1"/>
    <col min="3586" max="3586" width="23.5703125" style="115" customWidth="1"/>
    <col min="3587" max="3587" width="17.28515625" style="115" customWidth="1"/>
    <col min="3588" max="3588" width="20.5703125" style="115" bestFit="1" customWidth="1"/>
    <col min="3589" max="3589" width="17.140625" style="115" customWidth="1"/>
    <col min="3590" max="3590" width="21.85546875" style="115" bestFit="1" customWidth="1"/>
    <col min="3591" max="3591" width="17.140625" style="115" bestFit="1" customWidth="1"/>
    <col min="3592" max="3592" width="18.140625" style="115" bestFit="1" customWidth="1"/>
    <col min="3593" max="3593" width="26.42578125" style="115" customWidth="1"/>
    <col min="3594" max="3838" width="9.140625" style="115"/>
    <col min="3839" max="3839" width="8.7109375" style="115" bestFit="1" customWidth="1"/>
    <col min="3840" max="3840" width="13.28515625" style="115" customWidth="1"/>
    <col min="3841" max="3841" width="16.140625" style="115" bestFit="1" customWidth="1"/>
    <col min="3842" max="3842" width="23.5703125" style="115" customWidth="1"/>
    <col min="3843" max="3843" width="17.28515625" style="115" customWidth="1"/>
    <col min="3844" max="3844" width="20.5703125" style="115" bestFit="1" customWidth="1"/>
    <col min="3845" max="3845" width="17.140625" style="115" customWidth="1"/>
    <col min="3846" max="3846" width="21.85546875" style="115" bestFit="1" customWidth="1"/>
    <col min="3847" max="3847" width="17.140625" style="115" bestFit="1" customWidth="1"/>
    <col min="3848" max="3848" width="18.140625" style="115" bestFit="1" customWidth="1"/>
    <col min="3849" max="3849" width="26.42578125" style="115" customWidth="1"/>
    <col min="3850" max="4094" width="9.140625" style="115"/>
    <col min="4095" max="4095" width="8.7109375" style="115" bestFit="1" customWidth="1"/>
    <col min="4096" max="4096" width="13.28515625" style="115" customWidth="1"/>
    <col min="4097" max="4097" width="16.140625" style="115" bestFit="1" customWidth="1"/>
    <col min="4098" max="4098" width="23.5703125" style="115" customWidth="1"/>
    <col min="4099" max="4099" width="17.28515625" style="115" customWidth="1"/>
    <col min="4100" max="4100" width="20.5703125" style="115" bestFit="1" customWidth="1"/>
    <col min="4101" max="4101" width="17.140625" style="115" customWidth="1"/>
    <col min="4102" max="4102" width="21.85546875" style="115" bestFit="1" customWidth="1"/>
    <col min="4103" max="4103" width="17.140625" style="115" bestFit="1" customWidth="1"/>
    <col min="4104" max="4104" width="18.140625" style="115" bestFit="1" customWidth="1"/>
    <col min="4105" max="4105" width="26.42578125" style="115" customWidth="1"/>
    <col min="4106" max="4350" width="9.140625" style="115"/>
    <col min="4351" max="4351" width="8.7109375" style="115" bestFit="1" customWidth="1"/>
    <col min="4352" max="4352" width="13.28515625" style="115" customWidth="1"/>
    <col min="4353" max="4353" width="16.140625" style="115" bestFit="1" customWidth="1"/>
    <col min="4354" max="4354" width="23.5703125" style="115" customWidth="1"/>
    <col min="4355" max="4355" width="17.28515625" style="115" customWidth="1"/>
    <col min="4356" max="4356" width="20.5703125" style="115" bestFit="1" customWidth="1"/>
    <col min="4357" max="4357" width="17.140625" style="115" customWidth="1"/>
    <col min="4358" max="4358" width="21.85546875" style="115" bestFit="1" customWidth="1"/>
    <col min="4359" max="4359" width="17.140625" style="115" bestFit="1" customWidth="1"/>
    <col min="4360" max="4360" width="18.140625" style="115" bestFit="1" customWidth="1"/>
    <col min="4361" max="4361" width="26.42578125" style="115" customWidth="1"/>
    <col min="4362" max="4606" width="9.140625" style="115"/>
    <col min="4607" max="4607" width="8.7109375" style="115" bestFit="1" customWidth="1"/>
    <col min="4608" max="4608" width="13.28515625" style="115" customWidth="1"/>
    <col min="4609" max="4609" width="16.140625" style="115" bestFit="1" customWidth="1"/>
    <col min="4610" max="4610" width="23.5703125" style="115" customWidth="1"/>
    <col min="4611" max="4611" width="17.28515625" style="115" customWidth="1"/>
    <col min="4612" max="4612" width="20.5703125" style="115" bestFit="1" customWidth="1"/>
    <col min="4613" max="4613" width="17.140625" style="115" customWidth="1"/>
    <col min="4614" max="4614" width="21.85546875" style="115" bestFit="1" customWidth="1"/>
    <col min="4615" max="4615" width="17.140625" style="115" bestFit="1" customWidth="1"/>
    <col min="4616" max="4616" width="18.140625" style="115" bestFit="1" customWidth="1"/>
    <col min="4617" max="4617" width="26.42578125" style="115" customWidth="1"/>
    <col min="4618" max="4862" width="9.140625" style="115"/>
    <col min="4863" max="4863" width="8.7109375" style="115" bestFit="1" customWidth="1"/>
    <col min="4864" max="4864" width="13.28515625" style="115" customWidth="1"/>
    <col min="4865" max="4865" width="16.140625" style="115" bestFit="1" customWidth="1"/>
    <col min="4866" max="4866" width="23.5703125" style="115" customWidth="1"/>
    <col min="4867" max="4867" width="17.28515625" style="115" customWidth="1"/>
    <col min="4868" max="4868" width="20.5703125" style="115" bestFit="1" customWidth="1"/>
    <col min="4869" max="4869" width="17.140625" style="115" customWidth="1"/>
    <col min="4870" max="4870" width="21.85546875" style="115" bestFit="1" customWidth="1"/>
    <col min="4871" max="4871" width="17.140625" style="115" bestFit="1" customWidth="1"/>
    <col min="4872" max="4872" width="18.140625" style="115" bestFit="1" customWidth="1"/>
    <col min="4873" max="4873" width="26.42578125" style="115" customWidth="1"/>
    <col min="4874" max="5118" width="9.140625" style="115"/>
    <col min="5119" max="5119" width="8.7109375" style="115" bestFit="1" customWidth="1"/>
    <col min="5120" max="5120" width="13.28515625" style="115" customWidth="1"/>
    <col min="5121" max="5121" width="16.140625" style="115" bestFit="1" customWidth="1"/>
    <col min="5122" max="5122" width="23.5703125" style="115" customWidth="1"/>
    <col min="5123" max="5123" width="17.28515625" style="115" customWidth="1"/>
    <col min="5124" max="5124" width="20.5703125" style="115" bestFit="1" customWidth="1"/>
    <col min="5125" max="5125" width="17.140625" style="115" customWidth="1"/>
    <col min="5126" max="5126" width="21.85546875" style="115" bestFit="1" customWidth="1"/>
    <col min="5127" max="5127" width="17.140625" style="115" bestFit="1" customWidth="1"/>
    <col min="5128" max="5128" width="18.140625" style="115" bestFit="1" customWidth="1"/>
    <col min="5129" max="5129" width="26.42578125" style="115" customWidth="1"/>
    <col min="5130" max="5374" width="9.140625" style="115"/>
    <col min="5375" max="5375" width="8.7109375" style="115" bestFit="1" customWidth="1"/>
    <col min="5376" max="5376" width="13.28515625" style="115" customWidth="1"/>
    <col min="5377" max="5377" width="16.140625" style="115" bestFit="1" customWidth="1"/>
    <col min="5378" max="5378" width="23.5703125" style="115" customWidth="1"/>
    <col min="5379" max="5379" width="17.28515625" style="115" customWidth="1"/>
    <col min="5380" max="5380" width="20.5703125" style="115" bestFit="1" customWidth="1"/>
    <col min="5381" max="5381" width="17.140625" style="115" customWidth="1"/>
    <col min="5382" max="5382" width="21.85546875" style="115" bestFit="1" customWidth="1"/>
    <col min="5383" max="5383" width="17.140625" style="115" bestFit="1" customWidth="1"/>
    <col min="5384" max="5384" width="18.140625" style="115" bestFit="1" customWidth="1"/>
    <col min="5385" max="5385" width="26.42578125" style="115" customWidth="1"/>
    <col min="5386" max="5630" width="9.140625" style="115"/>
    <col min="5631" max="5631" width="8.7109375" style="115" bestFit="1" customWidth="1"/>
    <col min="5632" max="5632" width="13.28515625" style="115" customWidth="1"/>
    <col min="5633" max="5633" width="16.140625" style="115" bestFit="1" customWidth="1"/>
    <col min="5634" max="5634" width="23.5703125" style="115" customWidth="1"/>
    <col min="5635" max="5635" width="17.28515625" style="115" customWidth="1"/>
    <col min="5636" max="5636" width="20.5703125" style="115" bestFit="1" customWidth="1"/>
    <col min="5637" max="5637" width="17.140625" style="115" customWidth="1"/>
    <col min="5638" max="5638" width="21.85546875" style="115" bestFit="1" customWidth="1"/>
    <col min="5639" max="5639" width="17.140625" style="115" bestFit="1" customWidth="1"/>
    <col min="5640" max="5640" width="18.140625" style="115" bestFit="1" customWidth="1"/>
    <col min="5641" max="5641" width="26.42578125" style="115" customWidth="1"/>
    <col min="5642" max="5886" width="9.140625" style="115"/>
    <col min="5887" max="5887" width="8.7109375" style="115" bestFit="1" customWidth="1"/>
    <col min="5888" max="5888" width="13.28515625" style="115" customWidth="1"/>
    <col min="5889" max="5889" width="16.140625" style="115" bestFit="1" customWidth="1"/>
    <col min="5890" max="5890" width="23.5703125" style="115" customWidth="1"/>
    <col min="5891" max="5891" width="17.28515625" style="115" customWidth="1"/>
    <col min="5892" max="5892" width="20.5703125" style="115" bestFit="1" customWidth="1"/>
    <col min="5893" max="5893" width="17.140625" style="115" customWidth="1"/>
    <col min="5894" max="5894" width="21.85546875" style="115" bestFit="1" customWidth="1"/>
    <col min="5895" max="5895" width="17.140625" style="115" bestFit="1" customWidth="1"/>
    <col min="5896" max="5896" width="18.140625" style="115" bestFit="1" customWidth="1"/>
    <col min="5897" max="5897" width="26.42578125" style="115" customWidth="1"/>
    <col min="5898" max="6142" width="9.140625" style="115"/>
    <col min="6143" max="6143" width="8.7109375" style="115" bestFit="1" customWidth="1"/>
    <col min="6144" max="6144" width="13.28515625" style="115" customWidth="1"/>
    <col min="6145" max="6145" width="16.140625" style="115" bestFit="1" customWidth="1"/>
    <col min="6146" max="6146" width="23.5703125" style="115" customWidth="1"/>
    <col min="6147" max="6147" width="17.28515625" style="115" customWidth="1"/>
    <col min="6148" max="6148" width="20.5703125" style="115" bestFit="1" customWidth="1"/>
    <col min="6149" max="6149" width="17.140625" style="115" customWidth="1"/>
    <col min="6150" max="6150" width="21.85546875" style="115" bestFit="1" customWidth="1"/>
    <col min="6151" max="6151" width="17.140625" style="115" bestFit="1" customWidth="1"/>
    <col min="6152" max="6152" width="18.140625" style="115" bestFit="1" customWidth="1"/>
    <col min="6153" max="6153" width="26.42578125" style="115" customWidth="1"/>
    <col min="6154" max="6398" width="9.140625" style="115"/>
    <col min="6399" max="6399" width="8.7109375" style="115" bestFit="1" customWidth="1"/>
    <col min="6400" max="6400" width="13.28515625" style="115" customWidth="1"/>
    <col min="6401" max="6401" width="16.140625" style="115" bestFit="1" customWidth="1"/>
    <col min="6402" max="6402" width="23.5703125" style="115" customWidth="1"/>
    <col min="6403" max="6403" width="17.28515625" style="115" customWidth="1"/>
    <col min="6404" max="6404" width="20.5703125" style="115" bestFit="1" customWidth="1"/>
    <col min="6405" max="6405" width="17.140625" style="115" customWidth="1"/>
    <col min="6406" max="6406" width="21.85546875" style="115" bestFit="1" customWidth="1"/>
    <col min="6407" max="6407" width="17.140625" style="115" bestFit="1" customWidth="1"/>
    <col min="6408" max="6408" width="18.140625" style="115" bestFit="1" customWidth="1"/>
    <col min="6409" max="6409" width="26.42578125" style="115" customWidth="1"/>
    <col min="6410" max="6654" width="9.140625" style="115"/>
    <col min="6655" max="6655" width="8.7109375" style="115" bestFit="1" customWidth="1"/>
    <col min="6656" max="6656" width="13.28515625" style="115" customWidth="1"/>
    <col min="6657" max="6657" width="16.140625" style="115" bestFit="1" customWidth="1"/>
    <col min="6658" max="6658" width="23.5703125" style="115" customWidth="1"/>
    <col min="6659" max="6659" width="17.28515625" style="115" customWidth="1"/>
    <col min="6660" max="6660" width="20.5703125" style="115" bestFit="1" customWidth="1"/>
    <col min="6661" max="6661" width="17.140625" style="115" customWidth="1"/>
    <col min="6662" max="6662" width="21.85546875" style="115" bestFit="1" customWidth="1"/>
    <col min="6663" max="6663" width="17.140625" style="115" bestFit="1" customWidth="1"/>
    <col min="6664" max="6664" width="18.140625" style="115" bestFit="1" customWidth="1"/>
    <col min="6665" max="6665" width="26.42578125" style="115" customWidth="1"/>
    <col min="6666" max="6910" width="9.140625" style="115"/>
    <col min="6911" max="6911" width="8.7109375" style="115" bestFit="1" customWidth="1"/>
    <col min="6912" max="6912" width="13.28515625" style="115" customWidth="1"/>
    <col min="6913" max="6913" width="16.140625" style="115" bestFit="1" customWidth="1"/>
    <col min="6914" max="6914" width="23.5703125" style="115" customWidth="1"/>
    <col min="6915" max="6915" width="17.28515625" style="115" customWidth="1"/>
    <col min="6916" max="6916" width="20.5703125" style="115" bestFit="1" customWidth="1"/>
    <col min="6917" max="6917" width="17.140625" style="115" customWidth="1"/>
    <col min="6918" max="6918" width="21.85546875" style="115" bestFit="1" customWidth="1"/>
    <col min="6919" max="6919" width="17.140625" style="115" bestFit="1" customWidth="1"/>
    <col min="6920" max="6920" width="18.140625" style="115" bestFit="1" customWidth="1"/>
    <col min="6921" max="6921" width="26.42578125" style="115" customWidth="1"/>
    <col min="6922" max="7166" width="9.140625" style="115"/>
    <col min="7167" max="7167" width="8.7109375" style="115" bestFit="1" customWidth="1"/>
    <col min="7168" max="7168" width="13.28515625" style="115" customWidth="1"/>
    <col min="7169" max="7169" width="16.140625" style="115" bestFit="1" customWidth="1"/>
    <col min="7170" max="7170" width="23.5703125" style="115" customWidth="1"/>
    <col min="7171" max="7171" width="17.28515625" style="115" customWidth="1"/>
    <col min="7172" max="7172" width="20.5703125" style="115" bestFit="1" customWidth="1"/>
    <col min="7173" max="7173" width="17.140625" style="115" customWidth="1"/>
    <col min="7174" max="7174" width="21.85546875" style="115" bestFit="1" customWidth="1"/>
    <col min="7175" max="7175" width="17.140625" style="115" bestFit="1" customWidth="1"/>
    <col min="7176" max="7176" width="18.140625" style="115" bestFit="1" customWidth="1"/>
    <col min="7177" max="7177" width="26.42578125" style="115" customWidth="1"/>
    <col min="7178" max="7422" width="9.140625" style="115"/>
    <col min="7423" max="7423" width="8.7109375" style="115" bestFit="1" customWidth="1"/>
    <col min="7424" max="7424" width="13.28515625" style="115" customWidth="1"/>
    <col min="7425" max="7425" width="16.140625" style="115" bestFit="1" customWidth="1"/>
    <col min="7426" max="7426" width="23.5703125" style="115" customWidth="1"/>
    <col min="7427" max="7427" width="17.28515625" style="115" customWidth="1"/>
    <col min="7428" max="7428" width="20.5703125" style="115" bestFit="1" customWidth="1"/>
    <col min="7429" max="7429" width="17.140625" style="115" customWidth="1"/>
    <col min="7430" max="7430" width="21.85546875" style="115" bestFit="1" customWidth="1"/>
    <col min="7431" max="7431" width="17.140625" style="115" bestFit="1" customWidth="1"/>
    <col min="7432" max="7432" width="18.140625" style="115" bestFit="1" customWidth="1"/>
    <col min="7433" max="7433" width="26.42578125" style="115" customWidth="1"/>
    <col min="7434" max="7678" width="9.140625" style="115"/>
    <col min="7679" max="7679" width="8.7109375" style="115" bestFit="1" customWidth="1"/>
    <col min="7680" max="7680" width="13.28515625" style="115" customWidth="1"/>
    <col min="7681" max="7681" width="16.140625" style="115" bestFit="1" customWidth="1"/>
    <col min="7682" max="7682" width="23.5703125" style="115" customWidth="1"/>
    <col min="7683" max="7683" width="17.28515625" style="115" customWidth="1"/>
    <col min="7684" max="7684" width="20.5703125" style="115" bestFit="1" customWidth="1"/>
    <col min="7685" max="7685" width="17.140625" style="115" customWidth="1"/>
    <col min="7686" max="7686" width="21.85546875" style="115" bestFit="1" customWidth="1"/>
    <col min="7687" max="7687" width="17.140625" style="115" bestFit="1" customWidth="1"/>
    <col min="7688" max="7688" width="18.140625" style="115" bestFit="1" customWidth="1"/>
    <col min="7689" max="7689" width="26.42578125" style="115" customWidth="1"/>
    <col min="7690" max="7934" width="9.140625" style="115"/>
    <col min="7935" max="7935" width="8.7109375" style="115" bestFit="1" customWidth="1"/>
    <col min="7936" max="7936" width="13.28515625" style="115" customWidth="1"/>
    <col min="7937" max="7937" width="16.140625" style="115" bestFit="1" customWidth="1"/>
    <col min="7938" max="7938" width="23.5703125" style="115" customWidth="1"/>
    <col min="7939" max="7939" width="17.28515625" style="115" customWidth="1"/>
    <col min="7940" max="7940" width="20.5703125" style="115" bestFit="1" customWidth="1"/>
    <col min="7941" max="7941" width="17.140625" style="115" customWidth="1"/>
    <col min="7942" max="7942" width="21.85546875" style="115" bestFit="1" customWidth="1"/>
    <col min="7943" max="7943" width="17.140625" style="115" bestFit="1" customWidth="1"/>
    <col min="7944" max="7944" width="18.140625" style="115" bestFit="1" customWidth="1"/>
    <col min="7945" max="7945" width="26.42578125" style="115" customWidth="1"/>
    <col min="7946" max="8190" width="9.140625" style="115"/>
    <col min="8191" max="8191" width="8.7109375" style="115" bestFit="1" customWidth="1"/>
    <col min="8192" max="8192" width="13.28515625" style="115" customWidth="1"/>
    <col min="8193" max="8193" width="16.140625" style="115" bestFit="1" customWidth="1"/>
    <col min="8194" max="8194" width="23.5703125" style="115" customWidth="1"/>
    <col min="8195" max="8195" width="17.28515625" style="115" customWidth="1"/>
    <col min="8196" max="8196" width="20.5703125" style="115" bestFit="1" customWidth="1"/>
    <col min="8197" max="8197" width="17.140625" style="115" customWidth="1"/>
    <col min="8198" max="8198" width="21.85546875" style="115" bestFit="1" customWidth="1"/>
    <col min="8199" max="8199" width="17.140625" style="115" bestFit="1" customWidth="1"/>
    <col min="8200" max="8200" width="18.140625" style="115" bestFit="1" customWidth="1"/>
    <col min="8201" max="8201" width="26.42578125" style="115" customWidth="1"/>
    <col min="8202" max="8446" width="9.140625" style="115"/>
    <col min="8447" max="8447" width="8.7109375" style="115" bestFit="1" customWidth="1"/>
    <col min="8448" max="8448" width="13.28515625" style="115" customWidth="1"/>
    <col min="8449" max="8449" width="16.140625" style="115" bestFit="1" customWidth="1"/>
    <col min="8450" max="8450" width="23.5703125" style="115" customWidth="1"/>
    <col min="8451" max="8451" width="17.28515625" style="115" customWidth="1"/>
    <col min="8452" max="8452" width="20.5703125" style="115" bestFit="1" customWidth="1"/>
    <col min="8453" max="8453" width="17.140625" style="115" customWidth="1"/>
    <col min="8454" max="8454" width="21.85546875" style="115" bestFit="1" customWidth="1"/>
    <col min="8455" max="8455" width="17.140625" style="115" bestFit="1" customWidth="1"/>
    <col min="8456" max="8456" width="18.140625" style="115" bestFit="1" customWidth="1"/>
    <col min="8457" max="8457" width="26.42578125" style="115" customWidth="1"/>
    <col min="8458" max="8702" width="9.140625" style="115"/>
    <col min="8703" max="8703" width="8.7109375" style="115" bestFit="1" customWidth="1"/>
    <col min="8704" max="8704" width="13.28515625" style="115" customWidth="1"/>
    <col min="8705" max="8705" width="16.140625" style="115" bestFit="1" customWidth="1"/>
    <col min="8706" max="8706" width="23.5703125" style="115" customWidth="1"/>
    <col min="8707" max="8707" width="17.28515625" style="115" customWidth="1"/>
    <col min="8708" max="8708" width="20.5703125" style="115" bestFit="1" customWidth="1"/>
    <col min="8709" max="8709" width="17.140625" style="115" customWidth="1"/>
    <col min="8710" max="8710" width="21.85546875" style="115" bestFit="1" customWidth="1"/>
    <col min="8711" max="8711" width="17.140625" style="115" bestFit="1" customWidth="1"/>
    <col min="8712" max="8712" width="18.140625" style="115" bestFit="1" customWidth="1"/>
    <col min="8713" max="8713" width="26.42578125" style="115" customWidth="1"/>
    <col min="8714" max="8958" width="9.140625" style="115"/>
    <col min="8959" max="8959" width="8.7109375" style="115" bestFit="1" customWidth="1"/>
    <col min="8960" max="8960" width="13.28515625" style="115" customWidth="1"/>
    <col min="8961" max="8961" width="16.140625" style="115" bestFit="1" customWidth="1"/>
    <col min="8962" max="8962" width="23.5703125" style="115" customWidth="1"/>
    <col min="8963" max="8963" width="17.28515625" style="115" customWidth="1"/>
    <col min="8964" max="8964" width="20.5703125" style="115" bestFit="1" customWidth="1"/>
    <col min="8965" max="8965" width="17.140625" style="115" customWidth="1"/>
    <col min="8966" max="8966" width="21.85546875" style="115" bestFit="1" customWidth="1"/>
    <col min="8967" max="8967" width="17.140625" style="115" bestFit="1" customWidth="1"/>
    <col min="8968" max="8968" width="18.140625" style="115" bestFit="1" customWidth="1"/>
    <col min="8969" max="8969" width="26.42578125" style="115" customWidth="1"/>
    <col min="8970" max="9214" width="9.140625" style="115"/>
    <col min="9215" max="9215" width="8.7109375" style="115" bestFit="1" customWidth="1"/>
    <col min="9216" max="9216" width="13.28515625" style="115" customWidth="1"/>
    <col min="9217" max="9217" width="16.140625" style="115" bestFit="1" customWidth="1"/>
    <col min="9218" max="9218" width="23.5703125" style="115" customWidth="1"/>
    <col min="9219" max="9219" width="17.28515625" style="115" customWidth="1"/>
    <col min="9220" max="9220" width="20.5703125" style="115" bestFit="1" customWidth="1"/>
    <col min="9221" max="9221" width="17.140625" style="115" customWidth="1"/>
    <col min="9222" max="9222" width="21.85546875" style="115" bestFit="1" customWidth="1"/>
    <col min="9223" max="9223" width="17.140625" style="115" bestFit="1" customWidth="1"/>
    <col min="9224" max="9224" width="18.140625" style="115" bestFit="1" customWidth="1"/>
    <col min="9225" max="9225" width="26.42578125" style="115" customWidth="1"/>
    <col min="9226" max="9470" width="9.140625" style="115"/>
    <col min="9471" max="9471" width="8.7109375" style="115" bestFit="1" customWidth="1"/>
    <col min="9472" max="9472" width="13.28515625" style="115" customWidth="1"/>
    <col min="9473" max="9473" width="16.140625" style="115" bestFit="1" customWidth="1"/>
    <col min="9474" max="9474" width="23.5703125" style="115" customWidth="1"/>
    <col min="9475" max="9475" width="17.28515625" style="115" customWidth="1"/>
    <col min="9476" max="9476" width="20.5703125" style="115" bestFit="1" customWidth="1"/>
    <col min="9477" max="9477" width="17.140625" style="115" customWidth="1"/>
    <col min="9478" max="9478" width="21.85546875" style="115" bestFit="1" customWidth="1"/>
    <col min="9479" max="9479" width="17.140625" style="115" bestFit="1" customWidth="1"/>
    <col min="9480" max="9480" width="18.140625" style="115" bestFit="1" customWidth="1"/>
    <col min="9481" max="9481" width="26.42578125" style="115" customWidth="1"/>
    <col min="9482" max="9726" width="9.140625" style="115"/>
    <col min="9727" max="9727" width="8.7109375" style="115" bestFit="1" customWidth="1"/>
    <col min="9728" max="9728" width="13.28515625" style="115" customWidth="1"/>
    <col min="9729" max="9729" width="16.140625" style="115" bestFit="1" customWidth="1"/>
    <col min="9730" max="9730" width="23.5703125" style="115" customWidth="1"/>
    <col min="9731" max="9731" width="17.28515625" style="115" customWidth="1"/>
    <col min="9732" max="9732" width="20.5703125" style="115" bestFit="1" customWidth="1"/>
    <col min="9733" max="9733" width="17.140625" style="115" customWidth="1"/>
    <col min="9734" max="9734" width="21.85546875" style="115" bestFit="1" customWidth="1"/>
    <col min="9735" max="9735" width="17.140625" style="115" bestFit="1" customWidth="1"/>
    <col min="9736" max="9736" width="18.140625" style="115" bestFit="1" customWidth="1"/>
    <col min="9737" max="9737" width="26.42578125" style="115" customWidth="1"/>
    <col min="9738" max="9982" width="9.140625" style="115"/>
    <col min="9983" max="9983" width="8.7109375" style="115" bestFit="1" customWidth="1"/>
    <col min="9984" max="9984" width="13.28515625" style="115" customWidth="1"/>
    <col min="9985" max="9985" width="16.140625" style="115" bestFit="1" customWidth="1"/>
    <col min="9986" max="9986" width="23.5703125" style="115" customWidth="1"/>
    <col min="9987" max="9987" width="17.28515625" style="115" customWidth="1"/>
    <col min="9988" max="9988" width="20.5703125" style="115" bestFit="1" customWidth="1"/>
    <col min="9989" max="9989" width="17.140625" style="115" customWidth="1"/>
    <col min="9990" max="9990" width="21.85546875" style="115" bestFit="1" customWidth="1"/>
    <col min="9991" max="9991" width="17.140625" style="115" bestFit="1" customWidth="1"/>
    <col min="9992" max="9992" width="18.140625" style="115" bestFit="1" customWidth="1"/>
    <col min="9993" max="9993" width="26.42578125" style="115" customWidth="1"/>
    <col min="9994" max="10238" width="9.140625" style="115"/>
    <col min="10239" max="10239" width="8.7109375" style="115" bestFit="1" customWidth="1"/>
    <col min="10240" max="10240" width="13.28515625" style="115" customWidth="1"/>
    <col min="10241" max="10241" width="16.140625" style="115" bestFit="1" customWidth="1"/>
    <col min="10242" max="10242" width="23.5703125" style="115" customWidth="1"/>
    <col min="10243" max="10243" width="17.28515625" style="115" customWidth="1"/>
    <col min="10244" max="10244" width="20.5703125" style="115" bestFit="1" customWidth="1"/>
    <col min="10245" max="10245" width="17.140625" style="115" customWidth="1"/>
    <col min="10246" max="10246" width="21.85546875" style="115" bestFit="1" customWidth="1"/>
    <col min="10247" max="10247" width="17.140625" style="115" bestFit="1" customWidth="1"/>
    <col min="10248" max="10248" width="18.140625" style="115" bestFit="1" customWidth="1"/>
    <col min="10249" max="10249" width="26.42578125" style="115" customWidth="1"/>
    <col min="10250" max="10494" width="9.140625" style="115"/>
    <col min="10495" max="10495" width="8.7109375" style="115" bestFit="1" customWidth="1"/>
    <col min="10496" max="10496" width="13.28515625" style="115" customWidth="1"/>
    <col min="10497" max="10497" width="16.140625" style="115" bestFit="1" customWidth="1"/>
    <col min="10498" max="10498" width="23.5703125" style="115" customWidth="1"/>
    <col min="10499" max="10499" width="17.28515625" style="115" customWidth="1"/>
    <col min="10500" max="10500" width="20.5703125" style="115" bestFit="1" customWidth="1"/>
    <col min="10501" max="10501" width="17.140625" style="115" customWidth="1"/>
    <col min="10502" max="10502" width="21.85546875" style="115" bestFit="1" customWidth="1"/>
    <col min="10503" max="10503" width="17.140625" style="115" bestFit="1" customWidth="1"/>
    <col min="10504" max="10504" width="18.140625" style="115" bestFit="1" customWidth="1"/>
    <col min="10505" max="10505" width="26.42578125" style="115" customWidth="1"/>
    <col min="10506" max="10750" width="9.140625" style="115"/>
    <col min="10751" max="10751" width="8.7109375" style="115" bestFit="1" customWidth="1"/>
    <col min="10752" max="10752" width="13.28515625" style="115" customWidth="1"/>
    <col min="10753" max="10753" width="16.140625" style="115" bestFit="1" customWidth="1"/>
    <col min="10754" max="10754" width="23.5703125" style="115" customWidth="1"/>
    <col min="10755" max="10755" width="17.28515625" style="115" customWidth="1"/>
    <col min="10756" max="10756" width="20.5703125" style="115" bestFit="1" customWidth="1"/>
    <col min="10757" max="10757" width="17.140625" style="115" customWidth="1"/>
    <col min="10758" max="10758" width="21.85546875" style="115" bestFit="1" customWidth="1"/>
    <col min="10759" max="10759" width="17.140625" style="115" bestFit="1" customWidth="1"/>
    <col min="10760" max="10760" width="18.140625" style="115" bestFit="1" customWidth="1"/>
    <col min="10761" max="10761" width="26.42578125" style="115" customWidth="1"/>
    <col min="10762" max="11006" width="9.140625" style="115"/>
    <col min="11007" max="11007" width="8.7109375" style="115" bestFit="1" customWidth="1"/>
    <col min="11008" max="11008" width="13.28515625" style="115" customWidth="1"/>
    <col min="11009" max="11009" width="16.140625" style="115" bestFit="1" customWidth="1"/>
    <col min="11010" max="11010" width="23.5703125" style="115" customWidth="1"/>
    <col min="11011" max="11011" width="17.28515625" style="115" customWidth="1"/>
    <col min="11012" max="11012" width="20.5703125" style="115" bestFit="1" customWidth="1"/>
    <col min="11013" max="11013" width="17.140625" style="115" customWidth="1"/>
    <col min="11014" max="11014" width="21.85546875" style="115" bestFit="1" customWidth="1"/>
    <col min="11015" max="11015" width="17.140625" style="115" bestFit="1" customWidth="1"/>
    <col min="11016" max="11016" width="18.140625" style="115" bestFit="1" customWidth="1"/>
    <col min="11017" max="11017" width="26.42578125" style="115" customWidth="1"/>
    <col min="11018" max="11262" width="9.140625" style="115"/>
    <col min="11263" max="11263" width="8.7109375" style="115" bestFit="1" customWidth="1"/>
    <col min="11264" max="11264" width="13.28515625" style="115" customWidth="1"/>
    <col min="11265" max="11265" width="16.140625" style="115" bestFit="1" customWidth="1"/>
    <col min="11266" max="11266" width="23.5703125" style="115" customWidth="1"/>
    <col min="11267" max="11267" width="17.28515625" style="115" customWidth="1"/>
    <col min="11268" max="11268" width="20.5703125" style="115" bestFit="1" customWidth="1"/>
    <col min="11269" max="11269" width="17.140625" style="115" customWidth="1"/>
    <col min="11270" max="11270" width="21.85546875" style="115" bestFit="1" customWidth="1"/>
    <col min="11271" max="11271" width="17.140625" style="115" bestFit="1" customWidth="1"/>
    <col min="11272" max="11272" width="18.140625" style="115" bestFit="1" customWidth="1"/>
    <col min="11273" max="11273" width="26.42578125" style="115" customWidth="1"/>
    <col min="11274" max="11518" width="9.140625" style="115"/>
    <col min="11519" max="11519" width="8.7109375" style="115" bestFit="1" customWidth="1"/>
    <col min="11520" max="11520" width="13.28515625" style="115" customWidth="1"/>
    <col min="11521" max="11521" width="16.140625" style="115" bestFit="1" customWidth="1"/>
    <col min="11522" max="11522" width="23.5703125" style="115" customWidth="1"/>
    <col min="11523" max="11523" width="17.28515625" style="115" customWidth="1"/>
    <col min="11524" max="11524" width="20.5703125" style="115" bestFit="1" customWidth="1"/>
    <col min="11525" max="11525" width="17.140625" style="115" customWidth="1"/>
    <col min="11526" max="11526" width="21.85546875" style="115" bestFit="1" customWidth="1"/>
    <col min="11527" max="11527" width="17.140625" style="115" bestFit="1" customWidth="1"/>
    <col min="11528" max="11528" width="18.140625" style="115" bestFit="1" customWidth="1"/>
    <col min="11529" max="11529" width="26.42578125" style="115" customWidth="1"/>
    <col min="11530" max="11774" width="9.140625" style="115"/>
    <col min="11775" max="11775" width="8.7109375" style="115" bestFit="1" customWidth="1"/>
    <col min="11776" max="11776" width="13.28515625" style="115" customWidth="1"/>
    <col min="11777" max="11777" width="16.140625" style="115" bestFit="1" customWidth="1"/>
    <col min="11778" max="11778" width="23.5703125" style="115" customWidth="1"/>
    <col min="11779" max="11779" width="17.28515625" style="115" customWidth="1"/>
    <col min="11780" max="11780" width="20.5703125" style="115" bestFit="1" customWidth="1"/>
    <col min="11781" max="11781" width="17.140625" style="115" customWidth="1"/>
    <col min="11782" max="11782" width="21.85546875" style="115" bestFit="1" customWidth="1"/>
    <col min="11783" max="11783" width="17.140625" style="115" bestFit="1" customWidth="1"/>
    <col min="11784" max="11784" width="18.140625" style="115" bestFit="1" customWidth="1"/>
    <col min="11785" max="11785" width="26.42578125" style="115" customWidth="1"/>
    <col min="11786" max="12030" width="9.140625" style="115"/>
    <col min="12031" max="12031" width="8.7109375" style="115" bestFit="1" customWidth="1"/>
    <col min="12032" max="12032" width="13.28515625" style="115" customWidth="1"/>
    <col min="12033" max="12033" width="16.140625" style="115" bestFit="1" customWidth="1"/>
    <col min="12034" max="12034" width="23.5703125" style="115" customWidth="1"/>
    <col min="12035" max="12035" width="17.28515625" style="115" customWidth="1"/>
    <col min="12036" max="12036" width="20.5703125" style="115" bestFit="1" customWidth="1"/>
    <col min="12037" max="12037" width="17.140625" style="115" customWidth="1"/>
    <col min="12038" max="12038" width="21.85546875" style="115" bestFit="1" customWidth="1"/>
    <col min="12039" max="12039" width="17.140625" style="115" bestFit="1" customWidth="1"/>
    <col min="12040" max="12040" width="18.140625" style="115" bestFit="1" customWidth="1"/>
    <col min="12041" max="12041" width="26.42578125" style="115" customWidth="1"/>
    <col min="12042" max="12286" width="9.140625" style="115"/>
    <col min="12287" max="12287" width="8.7109375" style="115" bestFit="1" customWidth="1"/>
    <col min="12288" max="12288" width="13.28515625" style="115" customWidth="1"/>
    <col min="12289" max="12289" width="16.140625" style="115" bestFit="1" customWidth="1"/>
    <col min="12290" max="12290" width="23.5703125" style="115" customWidth="1"/>
    <col min="12291" max="12291" width="17.28515625" style="115" customWidth="1"/>
    <col min="12292" max="12292" width="20.5703125" style="115" bestFit="1" customWidth="1"/>
    <col min="12293" max="12293" width="17.140625" style="115" customWidth="1"/>
    <col min="12294" max="12294" width="21.85546875" style="115" bestFit="1" customWidth="1"/>
    <col min="12295" max="12295" width="17.140625" style="115" bestFit="1" customWidth="1"/>
    <col min="12296" max="12296" width="18.140625" style="115" bestFit="1" customWidth="1"/>
    <col min="12297" max="12297" width="26.42578125" style="115" customWidth="1"/>
    <col min="12298" max="12542" width="9.140625" style="115"/>
    <col min="12543" max="12543" width="8.7109375" style="115" bestFit="1" customWidth="1"/>
    <col min="12544" max="12544" width="13.28515625" style="115" customWidth="1"/>
    <col min="12545" max="12545" width="16.140625" style="115" bestFit="1" customWidth="1"/>
    <col min="12546" max="12546" width="23.5703125" style="115" customWidth="1"/>
    <col min="12547" max="12547" width="17.28515625" style="115" customWidth="1"/>
    <col min="12548" max="12548" width="20.5703125" style="115" bestFit="1" customWidth="1"/>
    <col min="12549" max="12549" width="17.140625" style="115" customWidth="1"/>
    <col min="12550" max="12550" width="21.85546875" style="115" bestFit="1" customWidth="1"/>
    <col min="12551" max="12551" width="17.140625" style="115" bestFit="1" customWidth="1"/>
    <col min="12552" max="12552" width="18.140625" style="115" bestFit="1" customWidth="1"/>
    <col min="12553" max="12553" width="26.42578125" style="115" customWidth="1"/>
    <col min="12554" max="12798" width="9.140625" style="115"/>
    <col min="12799" max="12799" width="8.7109375" style="115" bestFit="1" customWidth="1"/>
    <col min="12800" max="12800" width="13.28515625" style="115" customWidth="1"/>
    <col min="12801" max="12801" width="16.140625" style="115" bestFit="1" customWidth="1"/>
    <col min="12802" max="12802" width="23.5703125" style="115" customWidth="1"/>
    <col min="12803" max="12803" width="17.28515625" style="115" customWidth="1"/>
    <col min="12804" max="12804" width="20.5703125" style="115" bestFit="1" customWidth="1"/>
    <col min="12805" max="12805" width="17.140625" style="115" customWidth="1"/>
    <col min="12806" max="12806" width="21.85546875" style="115" bestFit="1" customWidth="1"/>
    <col min="12807" max="12807" width="17.140625" style="115" bestFit="1" customWidth="1"/>
    <col min="12808" max="12808" width="18.140625" style="115" bestFit="1" customWidth="1"/>
    <col min="12809" max="12809" width="26.42578125" style="115" customWidth="1"/>
    <col min="12810" max="13054" width="9.140625" style="115"/>
    <col min="13055" max="13055" width="8.7109375" style="115" bestFit="1" customWidth="1"/>
    <col min="13056" max="13056" width="13.28515625" style="115" customWidth="1"/>
    <col min="13057" max="13057" width="16.140625" style="115" bestFit="1" customWidth="1"/>
    <col min="13058" max="13058" width="23.5703125" style="115" customWidth="1"/>
    <col min="13059" max="13059" width="17.28515625" style="115" customWidth="1"/>
    <col min="13060" max="13060" width="20.5703125" style="115" bestFit="1" customWidth="1"/>
    <col min="13061" max="13061" width="17.140625" style="115" customWidth="1"/>
    <col min="13062" max="13062" width="21.85546875" style="115" bestFit="1" customWidth="1"/>
    <col min="13063" max="13063" width="17.140625" style="115" bestFit="1" customWidth="1"/>
    <col min="13064" max="13064" width="18.140625" style="115" bestFit="1" customWidth="1"/>
    <col min="13065" max="13065" width="26.42578125" style="115" customWidth="1"/>
    <col min="13066" max="13310" width="9.140625" style="115"/>
    <col min="13311" max="13311" width="8.7109375" style="115" bestFit="1" customWidth="1"/>
    <col min="13312" max="13312" width="13.28515625" style="115" customWidth="1"/>
    <col min="13313" max="13313" width="16.140625" style="115" bestFit="1" customWidth="1"/>
    <col min="13314" max="13314" width="23.5703125" style="115" customWidth="1"/>
    <col min="13315" max="13315" width="17.28515625" style="115" customWidth="1"/>
    <col min="13316" max="13316" width="20.5703125" style="115" bestFit="1" customWidth="1"/>
    <col min="13317" max="13317" width="17.140625" style="115" customWidth="1"/>
    <col min="13318" max="13318" width="21.85546875" style="115" bestFit="1" customWidth="1"/>
    <col min="13319" max="13319" width="17.140625" style="115" bestFit="1" customWidth="1"/>
    <col min="13320" max="13320" width="18.140625" style="115" bestFit="1" customWidth="1"/>
    <col min="13321" max="13321" width="26.42578125" style="115" customWidth="1"/>
    <col min="13322" max="13566" width="9.140625" style="115"/>
    <col min="13567" max="13567" width="8.7109375" style="115" bestFit="1" customWidth="1"/>
    <col min="13568" max="13568" width="13.28515625" style="115" customWidth="1"/>
    <col min="13569" max="13569" width="16.140625" style="115" bestFit="1" customWidth="1"/>
    <col min="13570" max="13570" width="23.5703125" style="115" customWidth="1"/>
    <col min="13571" max="13571" width="17.28515625" style="115" customWidth="1"/>
    <col min="13572" max="13572" width="20.5703125" style="115" bestFit="1" customWidth="1"/>
    <col min="13573" max="13573" width="17.140625" style="115" customWidth="1"/>
    <col min="13574" max="13574" width="21.85546875" style="115" bestFit="1" customWidth="1"/>
    <col min="13575" max="13575" width="17.140625" style="115" bestFit="1" customWidth="1"/>
    <col min="13576" max="13576" width="18.140625" style="115" bestFit="1" customWidth="1"/>
    <col min="13577" max="13577" width="26.42578125" style="115" customWidth="1"/>
    <col min="13578" max="13822" width="9.140625" style="115"/>
    <col min="13823" max="13823" width="8.7109375" style="115" bestFit="1" customWidth="1"/>
    <col min="13824" max="13824" width="13.28515625" style="115" customWidth="1"/>
    <col min="13825" max="13825" width="16.140625" style="115" bestFit="1" customWidth="1"/>
    <col min="13826" max="13826" width="23.5703125" style="115" customWidth="1"/>
    <col min="13827" max="13827" width="17.28515625" style="115" customWidth="1"/>
    <col min="13828" max="13828" width="20.5703125" style="115" bestFit="1" customWidth="1"/>
    <col min="13829" max="13829" width="17.140625" style="115" customWidth="1"/>
    <col min="13830" max="13830" width="21.85546875" style="115" bestFit="1" customWidth="1"/>
    <col min="13831" max="13831" width="17.140625" style="115" bestFit="1" customWidth="1"/>
    <col min="13832" max="13832" width="18.140625" style="115" bestFit="1" customWidth="1"/>
    <col min="13833" max="13833" width="26.42578125" style="115" customWidth="1"/>
    <col min="13834" max="14078" width="9.140625" style="115"/>
    <col min="14079" max="14079" width="8.7109375" style="115" bestFit="1" customWidth="1"/>
    <col min="14080" max="14080" width="13.28515625" style="115" customWidth="1"/>
    <col min="14081" max="14081" width="16.140625" style="115" bestFit="1" customWidth="1"/>
    <col min="14082" max="14082" width="23.5703125" style="115" customWidth="1"/>
    <col min="14083" max="14083" width="17.28515625" style="115" customWidth="1"/>
    <col min="14084" max="14084" width="20.5703125" style="115" bestFit="1" customWidth="1"/>
    <col min="14085" max="14085" width="17.140625" style="115" customWidth="1"/>
    <col min="14086" max="14086" width="21.85546875" style="115" bestFit="1" customWidth="1"/>
    <col min="14087" max="14087" width="17.140625" style="115" bestFit="1" customWidth="1"/>
    <col min="14088" max="14088" width="18.140625" style="115" bestFit="1" customWidth="1"/>
    <col min="14089" max="14089" width="26.42578125" style="115" customWidth="1"/>
    <col min="14090" max="14334" width="9.140625" style="115"/>
    <col min="14335" max="14335" width="8.7109375" style="115" bestFit="1" customWidth="1"/>
    <col min="14336" max="14336" width="13.28515625" style="115" customWidth="1"/>
    <col min="14337" max="14337" width="16.140625" style="115" bestFit="1" customWidth="1"/>
    <col min="14338" max="14338" width="23.5703125" style="115" customWidth="1"/>
    <col min="14339" max="14339" width="17.28515625" style="115" customWidth="1"/>
    <col min="14340" max="14340" width="20.5703125" style="115" bestFit="1" customWidth="1"/>
    <col min="14341" max="14341" width="17.140625" style="115" customWidth="1"/>
    <col min="14342" max="14342" width="21.85546875" style="115" bestFit="1" customWidth="1"/>
    <col min="14343" max="14343" width="17.140625" style="115" bestFit="1" customWidth="1"/>
    <col min="14344" max="14344" width="18.140625" style="115" bestFit="1" customWidth="1"/>
    <col min="14345" max="14345" width="26.42578125" style="115" customWidth="1"/>
    <col min="14346" max="14590" width="9.140625" style="115"/>
    <col min="14591" max="14591" width="8.7109375" style="115" bestFit="1" customWidth="1"/>
    <col min="14592" max="14592" width="13.28515625" style="115" customWidth="1"/>
    <col min="14593" max="14593" width="16.140625" style="115" bestFit="1" customWidth="1"/>
    <col min="14594" max="14594" width="23.5703125" style="115" customWidth="1"/>
    <col min="14595" max="14595" width="17.28515625" style="115" customWidth="1"/>
    <col min="14596" max="14596" width="20.5703125" style="115" bestFit="1" customWidth="1"/>
    <col min="14597" max="14597" width="17.140625" style="115" customWidth="1"/>
    <col min="14598" max="14598" width="21.85546875" style="115" bestFit="1" customWidth="1"/>
    <col min="14599" max="14599" width="17.140625" style="115" bestFit="1" customWidth="1"/>
    <col min="14600" max="14600" width="18.140625" style="115" bestFit="1" customWidth="1"/>
    <col min="14601" max="14601" width="26.42578125" style="115" customWidth="1"/>
    <col min="14602" max="14846" width="9.140625" style="115"/>
    <col min="14847" max="14847" width="8.7109375" style="115" bestFit="1" customWidth="1"/>
    <col min="14848" max="14848" width="13.28515625" style="115" customWidth="1"/>
    <col min="14849" max="14849" width="16.140625" style="115" bestFit="1" customWidth="1"/>
    <col min="14850" max="14850" width="23.5703125" style="115" customWidth="1"/>
    <col min="14851" max="14851" width="17.28515625" style="115" customWidth="1"/>
    <col min="14852" max="14852" width="20.5703125" style="115" bestFit="1" customWidth="1"/>
    <col min="14853" max="14853" width="17.140625" style="115" customWidth="1"/>
    <col min="14854" max="14854" width="21.85546875" style="115" bestFit="1" customWidth="1"/>
    <col min="14855" max="14855" width="17.140625" style="115" bestFit="1" customWidth="1"/>
    <col min="14856" max="14856" width="18.140625" style="115" bestFit="1" customWidth="1"/>
    <col min="14857" max="14857" width="26.42578125" style="115" customWidth="1"/>
    <col min="14858" max="15102" width="9.140625" style="115"/>
    <col min="15103" max="15103" width="8.7109375" style="115" bestFit="1" customWidth="1"/>
    <col min="15104" max="15104" width="13.28515625" style="115" customWidth="1"/>
    <col min="15105" max="15105" width="16.140625" style="115" bestFit="1" customWidth="1"/>
    <col min="15106" max="15106" width="23.5703125" style="115" customWidth="1"/>
    <col min="15107" max="15107" width="17.28515625" style="115" customWidth="1"/>
    <col min="15108" max="15108" width="20.5703125" style="115" bestFit="1" customWidth="1"/>
    <col min="15109" max="15109" width="17.140625" style="115" customWidth="1"/>
    <col min="15110" max="15110" width="21.85546875" style="115" bestFit="1" customWidth="1"/>
    <col min="15111" max="15111" width="17.140625" style="115" bestFit="1" customWidth="1"/>
    <col min="15112" max="15112" width="18.140625" style="115" bestFit="1" customWidth="1"/>
    <col min="15113" max="15113" width="26.42578125" style="115" customWidth="1"/>
    <col min="15114" max="15358" width="9.140625" style="115"/>
    <col min="15359" max="15359" width="8.7109375" style="115" bestFit="1" customWidth="1"/>
    <col min="15360" max="15360" width="13.28515625" style="115" customWidth="1"/>
    <col min="15361" max="15361" width="16.140625" style="115" bestFit="1" customWidth="1"/>
    <col min="15362" max="15362" width="23.5703125" style="115" customWidth="1"/>
    <col min="15363" max="15363" width="17.28515625" style="115" customWidth="1"/>
    <col min="15364" max="15364" width="20.5703125" style="115" bestFit="1" customWidth="1"/>
    <col min="15365" max="15365" width="17.140625" style="115" customWidth="1"/>
    <col min="15366" max="15366" width="21.85546875" style="115" bestFit="1" customWidth="1"/>
    <col min="15367" max="15367" width="17.140625" style="115" bestFit="1" customWidth="1"/>
    <col min="15368" max="15368" width="18.140625" style="115" bestFit="1" customWidth="1"/>
    <col min="15369" max="15369" width="26.42578125" style="115" customWidth="1"/>
    <col min="15370" max="15614" width="9.140625" style="115"/>
    <col min="15615" max="15615" width="8.7109375" style="115" bestFit="1" customWidth="1"/>
    <col min="15616" max="15616" width="13.28515625" style="115" customWidth="1"/>
    <col min="15617" max="15617" width="16.140625" style="115" bestFit="1" customWidth="1"/>
    <col min="15618" max="15618" width="23.5703125" style="115" customWidth="1"/>
    <col min="15619" max="15619" width="17.28515625" style="115" customWidth="1"/>
    <col min="15620" max="15620" width="20.5703125" style="115" bestFit="1" customWidth="1"/>
    <col min="15621" max="15621" width="17.140625" style="115" customWidth="1"/>
    <col min="15622" max="15622" width="21.85546875" style="115" bestFit="1" customWidth="1"/>
    <col min="15623" max="15623" width="17.140625" style="115" bestFit="1" customWidth="1"/>
    <col min="15624" max="15624" width="18.140625" style="115" bestFit="1" customWidth="1"/>
    <col min="15625" max="15625" width="26.42578125" style="115" customWidth="1"/>
    <col min="15626" max="15870" width="9.140625" style="115"/>
    <col min="15871" max="15871" width="8.7109375" style="115" bestFit="1" customWidth="1"/>
    <col min="15872" max="15872" width="13.28515625" style="115" customWidth="1"/>
    <col min="15873" max="15873" width="16.140625" style="115" bestFit="1" customWidth="1"/>
    <col min="15874" max="15874" width="23.5703125" style="115" customWidth="1"/>
    <col min="15875" max="15875" width="17.28515625" style="115" customWidth="1"/>
    <col min="15876" max="15876" width="20.5703125" style="115" bestFit="1" customWidth="1"/>
    <col min="15877" max="15877" width="17.140625" style="115" customWidth="1"/>
    <col min="15878" max="15878" width="21.85546875" style="115" bestFit="1" customWidth="1"/>
    <col min="15879" max="15879" width="17.140625" style="115" bestFit="1" customWidth="1"/>
    <col min="15880" max="15880" width="18.140625" style="115" bestFit="1" customWidth="1"/>
    <col min="15881" max="15881" width="26.42578125" style="115" customWidth="1"/>
    <col min="15882" max="16126" width="9.140625" style="115"/>
    <col min="16127" max="16127" width="8.7109375" style="115" bestFit="1" customWidth="1"/>
    <col min="16128" max="16128" width="13.28515625" style="115" customWidth="1"/>
    <col min="16129" max="16129" width="16.140625" style="115" bestFit="1" customWidth="1"/>
    <col min="16130" max="16130" width="23.5703125" style="115" customWidth="1"/>
    <col min="16131" max="16131" width="17.28515625" style="115" customWidth="1"/>
    <col min="16132" max="16132" width="20.5703125" style="115" bestFit="1" customWidth="1"/>
    <col min="16133" max="16133" width="17.140625" style="115" customWidth="1"/>
    <col min="16134" max="16134" width="21.85546875" style="115" bestFit="1" customWidth="1"/>
    <col min="16135" max="16135" width="17.140625" style="115" bestFit="1" customWidth="1"/>
    <col min="16136" max="16136" width="18.140625" style="115" bestFit="1" customWidth="1"/>
    <col min="16137" max="16137" width="26.42578125" style="115" customWidth="1"/>
    <col min="16138" max="16384" width="9.140625" style="115"/>
  </cols>
  <sheetData>
    <row r="1" spans="11:17" s="133" customFormat="1" x14ac:dyDescent="0.2">
      <c r="K1" s="480"/>
      <c r="L1" s="479"/>
      <c r="Q1" s="661"/>
    </row>
    <row r="2" spans="11:17" s="133" customFormat="1" x14ac:dyDescent="0.2">
      <c r="K2" s="480"/>
      <c r="L2" s="479"/>
      <c r="Q2" s="661"/>
    </row>
    <row r="3" spans="11:17" s="133" customFormat="1" x14ac:dyDescent="0.2">
      <c r="K3" s="480"/>
      <c r="L3" s="479"/>
      <c r="Q3" s="661"/>
    </row>
    <row r="4" spans="11:17" s="133" customFormat="1" x14ac:dyDescent="0.2">
      <c r="K4" s="480"/>
      <c r="L4" s="479"/>
      <c r="Q4" s="661"/>
    </row>
    <row r="5" spans="11:17" s="133" customFormat="1" x14ac:dyDescent="0.2">
      <c r="K5" s="480"/>
      <c r="L5" s="479"/>
      <c r="Q5" s="661"/>
    </row>
    <row r="6" spans="11:17" s="133" customFormat="1" x14ac:dyDescent="0.2">
      <c r="K6" s="480"/>
      <c r="L6" s="479"/>
      <c r="Q6" s="661"/>
    </row>
    <row r="7" spans="11:17" s="133" customFormat="1" x14ac:dyDescent="0.2">
      <c r="K7" s="480"/>
      <c r="L7" s="479"/>
      <c r="Q7" s="661"/>
    </row>
    <row r="8" spans="11:17" s="133" customFormat="1" x14ac:dyDescent="0.2">
      <c r="K8" s="480"/>
      <c r="L8" s="479"/>
      <c r="Q8" s="661"/>
    </row>
    <row r="9" spans="11:17" s="133" customFormat="1" x14ac:dyDescent="0.2">
      <c r="K9" s="480"/>
      <c r="L9" s="479"/>
      <c r="Q9" s="661"/>
    </row>
    <row r="10" spans="11:17" s="133" customFormat="1" x14ac:dyDescent="0.2">
      <c r="K10" s="480"/>
      <c r="L10" s="479"/>
      <c r="Q10" s="661"/>
    </row>
    <row r="11" spans="11:17" s="133" customFormat="1" x14ac:dyDescent="0.2">
      <c r="K11" s="480"/>
      <c r="L11" s="479"/>
      <c r="Q11" s="661"/>
    </row>
    <row r="12" spans="11:17" s="133" customFormat="1" x14ac:dyDescent="0.2">
      <c r="K12" s="480"/>
      <c r="L12" s="479"/>
      <c r="Q12" s="661"/>
    </row>
    <row r="13" spans="11:17" s="133" customFormat="1" x14ac:dyDescent="0.2">
      <c r="K13" s="480"/>
      <c r="L13" s="479"/>
      <c r="Q13" s="661"/>
    </row>
    <row r="14" spans="11:17" s="133" customFormat="1" x14ac:dyDescent="0.2">
      <c r="K14" s="480"/>
      <c r="L14" s="479"/>
      <c r="Q14" s="661"/>
    </row>
    <row r="15" spans="11:17" s="133" customFormat="1" x14ac:dyDescent="0.2">
      <c r="K15" s="480"/>
      <c r="L15" s="479"/>
      <c r="Q15" s="661"/>
    </row>
    <row r="16" spans="11:17" s="133" customFormat="1" x14ac:dyDescent="0.2">
      <c r="K16" s="480"/>
      <c r="L16" s="479"/>
      <c r="Q16" s="661"/>
    </row>
    <row r="17" spans="1:17" s="133" customFormat="1" x14ac:dyDescent="0.2">
      <c r="K17" s="480"/>
      <c r="L17" s="479"/>
      <c r="Q17" s="661"/>
    </row>
    <row r="18" spans="1:17" s="133" customFormat="1" x14ac:dyDescent="0.2">
      <c r="K18" s="480"/>
      <c r="L18" s="479"/>
      <c r="Q18" s="661"/>
    </row>
    <row r="19" spans="1:17" s="133" customFormat="1" x14ac:dyDescent="0.2">
      <c r="K19" s="480"/>
      <c r="L19" s="479"/>
      <c r="Q19" s="661"/>
    </row>
    <row r="20" spans="1:17" s="133" customFormat="1" x14ac:dyDescent="0.2">
      <c r="K20" s="480"/>
      <c r="L20" s="479"/>
      <c r="Q20" s="661"/>
    </row>
    <row r="21" spans="1:17" s="133" customFormat="1" x14ac:dyDescent="0.2">
      <c r="K21" s="480"/>
      <c r="L21" s="479"/>
      <c r="Q21" s="661"/>
    </row>
    <row r="22" spans="1:17" s="133" customFormat="1" x14ac:dyDescent="0.2">
      <c r="K22" s="480"/>
      <c r="L22" s="479"/>
      <c r="Q22" s="661"/>
    </row>
    <row r="23" spans="1:17" s="133" customFormat="1" x14ac:dyDescent="0.2">
      <c r="K23" s="480"/>
      <c r="L23" s="479"/>
      <c r="Q23" s="661"/>
    </row>
    <row r="24" spans="1:17" s="133" customFormat="1" x14ac:dyDescent="0.2">
      <c r="K24" s="480"/>
      <c r="L24" s="479"/>
      <c r="Q24" s="661"/>
    </row>
    <row r="25" spans="1:17" s="133" customFormat="1" x14ac:dyDescent="0.2">
      <c r="K25" s="480"/>
      <c r="L25" s="479"/>
      <c r="Q25" s="661"/>
    </row>
    <row r="26" spans="1:17" s="133" customFormat="1" x14ac:dyDescent="0.2">
      <c r="K26" s="480"/>
      <c r="L26" s="479"/>
      <c r="Q26" s="661"/>
    </row>
    <row r="27" spans="1:17" s="133" customFormat="1" x14ac:dyDescent="0.2">
      <c r="K27" s="480"/>
      <c r="L27" s="479"/>
      <c r="Q27" s="661"/>
    </row>
    <row r="28" spans="1:17" s="133" customFormat="1" ht="24.75" customHeight="1" x14ac:dyDescent="0.25">
      <c r="A28" s="505" t="str">
        <f>CHOOSE(MODE, 'Variable Mgmt'!K11,'Variable Mgmt'!K12)</f>
        <v>SINGLE Output PSR Flyback Converter, VIN = 13.5 V, VOUT = 12 V, IOUT = 0.8 A</v>
      </c>
      <c r="K28" s="479"/>
      <c r="L28" s="479"/>
      <c r="Q28" s="661"/>
    </row>
    <row r="29" spans="1:17" ht="24.75" customHeight="1" thickBot="1" x14ac:dyDescent="0.25">
      <c r="A29" s="116" t="s">
        <v>537</v>
      </c>
    </row>
    <row r="30" spans="1:17" ht="18" customHeight="1" x14ac:dyDescent="0.2">
      <c r="A30" s="207" t="s">
        <v>123</v>
      </c>
      <c r="B30" s="208" t="s">
        <v>122</v>
      </c>
      <c r="C30" s="208" t="s">
        <v>6</v>
      </c>
      <c r="D30" s="669" t="s">
        <v>41</v>
      </c>
      <c r="E30" s="670"/>
      <c r="F30" s="671"/>
      <c r="G30" s="208" t="s">
        <v>116</v>
      </c>
      <c r="H30" s="208" t="s">
        <v>67</v>
      </c>
      <c r="I30" s="498" t="s">
        <v>117</v>
      </c>
      <c r="J30" s="499" t="s">
        <v>350</v>
      </c>
      <c r="K30" s="500" t="s">
        <v>359</v>
      </c>
      <c r="L30" s="473"/>
      <c r="N30" s="118"/>
      <c r="Q30" s="662"/>
    </row>
    <row r="31" spans="1:17" s="118" customFormat="1" ht="17.100000000000001" customHeight="1" x14ac:dyDescent="0.2">
      <c r="A31" s="117">
        <f>ROUNDUP('Design PSR Flyback Converter'!E17/10,0)</f>
        <v>1</v>
      </c>
      <c r="B31" s="129" t="s">
        <v>120</v>
      </c>
      <c r="C31" s="132">
        <f>Cin</f>
        <v>10</v>
      </c>
      <c r="D31" s="667" t="str">
        <f>IF(VIN_max&gt;35, "Capacitor, Ceramic, "&amp;'Variable Mgmt'!B211&amp;", 100V, X7R, 10%", "Capacitor, Ceramic, "&amp;'Variable Mgmt'!B211&amp;", 50V, X7R, 10%")</f>
        <v>Capacitor, Ceramic, 10µF, 100V, X7R, 10%</v>
      </c>
      <c r="E31" s="668"/>
      <c r="F31" s="668"/>
      <c r="G31" s="130"/>
      <c r="H31" s="131" t="s">
        <v>118</v>
      </c>
      <c r="I31" s="485" t="s">
        <v>118</v>
      </c>
      <c r="J31" s="494" t="str">
        <f>CHOOSE(Q31,'Variable Mgmt'!T56,'Variable Mgmt'!T57,'Variable Mgmt'!T58,'Variable Mgmt'!T59,'Variable Mgmt'!T60)</f>
        <v>3.2 x 2.5</v>
      </c>
      <c r="K31" s="492">
        <f>CHOOSE(Q31,'Variable Mgmt'!U56,'Variable Mgmt'!U57,'Variable Mgmt'!U58,'Variable Mgmt'!U59,'Variable Mgmt'!U60)</f>
        <v>8</v>
      </c>
      <c r="L31" s="497"/>
      <c r="Q31" s="503">
        <v>5</v>
      </c>
    </row>
    <row r="32" spans="1:17" s="118" customFormat="1" ht="17.100000000000001" customHeight="1" x14ac:dyDescent="0.2">
      <c r="A32" s="117">
        <v>1</v>
      </c>
      <c r="B32" s="129" t="s">
        <v>121</v>
      </c>
      <c r="C32" s="132">
        <f>Cout</f>
        <v>47</v>
      </c>
      <c r="D32" s="683" t="str">
        <f>CHOOSE(Cout_Voltage_Rating, "Capacitor, Ceramic, "&amp;'Variable Mgmt'!B206&amp;", 6.3V, X7R, 10%", "Capacitor, Ceramic, "&amp;'Variable Mgmt'!B206&amp;", 10V, X7R, 10%", "Capacitor, Ceramic, "&amp;'Variable Mgmt'!B206&amp;", 16V, X7R, 10%", "Capacitor, Ceramic, "&amp;'Variable Mgmt'!B206&amp;", 25V, X7R, 10%",  "Capacitor, Ceramic, "&amp;'Variable Mgmt'!B206&amp;", 50V, X7R, 10%")</f>
        <v>Capacitor, Ceramic, 47µF, 16V, X7R, 10%</v>
      </c>
      <c r="E32" s="684"/>
      <c r="F32" s="684"/>
      <c r="G32" s="130"/>
      <c r="H32" s="131" t="s">
        <v>118</v>
      </c>
      <c r="I32" s="485" t="s">
        <v>118</v>
      </c>
      <c r="J32" s="494" t="str">
        <f>CHOOSE(Q32,'Variable Mgmt'!T56,'Variable Mgmt'!T57,'Variable Mgmt'!T58,'Variable Mgmt'!T59,'Variable Mgmt'!T60)</f>
        <v>3.2 x 2.5</v>
      </c>
      <c r="K32" s="492">
        <f>CHOOSE(Q32,'Variable Mgmt'!U56,'Variable Mgmt'!U57,'Variable Mgmt'!U58,'Variable Mgmt'!U59,'Variable Mgmt'!U60)</f>
        <v>8</v>
      </c>
      <c r="L32" s="497"/>
      <c r="Q32" s="504">
        <v>5</v>
      </c>
    </row>
    <row r="33" spans="1:17" s="118" customFormat="1" ht="17.100000000000001" customHeight="1" x14ac:dyDescent="0.2">
      <c r="A33" s="117" t="str">
        <f>CHOOSE(MODE, "-", "1")</f>
        <v>-</v>
      </c>
      <c r="B33" s="129" t="s">
        <v>641</v>
      </c>
      <c r="C33" s="132" t="str">
        <f>CHOOSE(MODE, "-", Cout2)</f>
        <v>-</v>
      </c>
      <c r="D33" s="615" t="str">
        <f>CHOOSE(MODE, "-", CHOOSE(Cout_Voltage_Rating, "Capacitor, Ceramic, "&amp;'Variable Mgmt'!F206&amp;", 6.3V, X7R, 10%", "Capacitor, Ceramic, "&amp;'Variable Mgmt'!F206&amp;", 10V, X7R, 10%", "Capacitor, Ceramic, "&amp;'Variable Mgmt'!F206&amp;", 16V, X7R, 10%", "Capacitor, Ceramic, "&amp;'Variable Mgmt'!F206&amp;", 25V, X7R, 10%",  "Capacitor, Ceramic, "&amp;'Variable Mgmt'!F206&amp;", 50V, X7R, 10%"))</f>
        <v>-</v>
      </c>
      <c r="E33" s="616"/>
      <c r="F33" s="616"/>
      <c r="G33" s="130"/>
      <c r="H33" s="131" t="str">
        <f>CHOOSE(MODE, "-", "Std")</f>
        <v>-</v>
      </c>
      <c r="I33" s="485" t="str">
        <f>CHOOSE(MODE, "-", "Std")</f>
        <v>-</v>
      </c>
      <c r="J33" s="494" t="str">
        <f>CHOOSE(MODE, "-", CHOOSE(Q33,'Variable Mgmt'!T56,'Variable Mgmt'!T57,'Variable Mgmt'!T58,'Variable Mgmt'!T59,'Variable Mgmt'!T60))</f>
        <v>-</v>
      </c>
      <c r="K33" s="492" t="str">
        <f>CHOOSE(MODE, "-", CHOOSE(Q33,'Variable Mgmt'!U56,'Variable Mgmt'!U57,'Variable Mgmt'!U58,'Variable Mgmt'!U59,'Variable Mgmt'!U60))</f>
        <v>-</v>
      </c>
      <c r="L33" s="497"/>
      <c r="Q33" s="504">
        <v>5</v>
      </c>
    </row>
    <row r="34" spans="1:17" s="118" customFormat="1" ht="17.100000000000001" customHeight="1" x14ac:dyDescent="0.2">
      <c r="A34" s="119" t="str">
        <f>CHOOSE(MODE_SS, "1", "-", "1")</f>
        <v>1</v>
      </c>
      <c r="B34" s="120" t="str">
        <f>CHOOSE(MODE_SS, "Css", "-")</f>
        <v>Css</v>
      </c>
      <c r="C34" s="641" t="str">
        <f>CHOOSE(MODE_SS, 'Standard Value Calculator'!B4*1000000000&amp;"nF", "-", "100k")</f>
        <v>47nF</v>
      </c>
      <c r="D34" s="685" t="str">
        <f>CHOOSE(MODE_SS, "Capacitor, Ceramic, "&amp;'Standard Value Calculator'!B4*1000000000&amp;"nF"&amp;", 16V, X7R, 10%", "-")</f>
        <v>Capacitor, Ceramic, 47nF, 16V, X7R, 10%</v>
      </c>
      <c r="E34" s="686"/>
      <c r="F34" s="686"/>
      <c r="G34" s="122" t="s">
        <v>119</v>
      </c>
      <c r="H34" s="123" t="str">
        <f>CHOOSE(MODE_SS, "Std", "-")</f>
        <v>Std</v>
      </c>
      <c r="I34" s="486" t="str">
        <f>CHOOSE(MODE_SS, "Std", "-")</f>
        <v>Std</v>
      </c>
      <c r="J34" s="494" t="str">
        <f>CHOOSE(MODE_SS,CHOOSE(Q34,'Variable Mgmt'!T56,'Variable Mgmt'!T57,'Variable Mgmt'!T58),"-",CHOOSE(Q34,'Variable Mgmt'!T56,'Variable Mgmt'!T57,'Variable Mgmt'!T58))</f>
        <v>1.0 x 0.5</v>
      </c>
      <c r="K34" s="492">
        <f>CHOOSE(MODE_SS, CHOOSE(Q34,'Variable Mgmt'!U56,'Variable Mgmt'!U57,'Variable Mgmt'!U58), "-", CHOOSE(Q34,'Variable Mgmt'!U56,'Variable Mgmt'!U57,'Variable Mgmt'!U58))</f>
        <v>0.5</v>
      </c>
      <c r="L34" s="497"/>
      <c r="Q34" s="504">
        <v>1</v>
      </c>
    </row>
    <row r="35" spans="1:17" s="118" customFormat="1" ht="17.100000000000001" customHeight="1" x14ac:dyDescent="0.2">
      <c r="A35" s="124">
        <v>1</v>
      </c>
      <c r="B35" s="125" t="s">
        <v>643</v>
      </c>
      <c r="C35" s="126" t="s">
        <v>194</v>
      </c>
      <c r="D35" s="676" t="str">
        <f>"Rectifying Diode, Schottky"</f>
        <v>Rectifying Diode, Schottky</v>
      </c>
      <c r="E35" s="677"/>
      <c r="F35" s="677"/>
      <c r="G35" s="127" t="e">
        <f>CHOOSE(SHORT_ILIM, "-", "0603")</f>
        <v>#NAME?</v>
      </c>
      <c r="H35" s="128" t="s">
        <v>118</v>
      </c>
      <c r="I35" s="487" t="s">
        <v>118</v>
      </c>
      <c r="J35" s="634" t="str">
        <f>CHOOSE(Q35,'Variable Mgmt'!Y67,'Variable Mgmt'!Y68,'Variable Mgmt'!Y69,'Variable Mgmt'!Y70,'Variable Mgmt'!Y71)</f>
        <v>5.0 x 2.7</v>
      </c>
      <c r="K35" s="635">
        <f>CHOOSE(Q35,'Variable Mgmt'!Z67,'Variable Mgmt'!Z68,'Variable Mgmt'!Z69,'Variable Mgmt'!Z70,'Variable Mgmt'!Z71)</f>
        <v>13.5</v>
      </c>
      <c r="L35" s="497"/>
      <c r="Q35" s="504">
        <v>2</v>
      </c>
    </row>
    <row r="36" spans="1:17" s="118" customFormat="1" ht="17.100000000000001" customHeight="1" x14ac:dyDescent="0.2">
      <c r="A36" s="124" t="str">
        <f>CHOOSE(MODE, "-", "1")</f>
        <v>-</v>
      </c>
      <c r="B36" s="125" t="s">
        <v>642</v>
      </c>
      <c r="C36" s="126" t="str">
        <f>CHOOSE(MODE, "-", "Diode")</f>
        <v>-</v>
      </c>
      <c r="D36" s="674" t="str">
        <f>CHOOSE(MODE, "-", "Rectifying Diode, Schottky")</f>
        <v>-</v>
      </c>
      <c r="E36" s="675"/>
      <c r="F36" s="675"/>
      <c r="G36" s="127" t="s">
        <v>119</v>
      </c>
      <c r="H36" s="128" t="str">
        <f>CHOOSE(MODE, "-", "Std")</f>
        <v>-</v>
      </c>
      <c r="I36" s="487" t="str">
        <f>CHOOSE(MODE, "-", "Std")</f>
        <v>-</v>
      </c>
      <c r="J36" s="634" t="str">
        <f>CHOOSE(MODE, "-", CHOOSE(Q35,'Variable Mgmt'!Y67,'Variable Mgmt'!Y68,'Variable Mgmt'!Y69,'Variable Mgmt'!Y70,'Variable Mgmt'!Y71))</f>
        <v>-</v>
      </c>
      <c r="K36" s="635" t="str">
        <f>CHOOSE(MODE, "-", CHOOSE(Q36,'Variable Mgmt'!Z65,'Variable Mgmt'!Z66,'Variable Mgmt'!Z67,'Variable Mgmt'!Z68))</f>
        <v>-</v>
      </c>
      <c r="L36" s="497"/>
      <c r="Q36" s="504">
        <v>2</v>
      </c>
    </row>
    <row r="37" spans="1:17" s="118" customFormat="1" ht="17.100000000000001" customHeight="1" x14ac:dyDescent="0.2">
      <c r="A37" s="124">
        <v>1</v>
      </c>
      <c r="B37" s="125" t="s">
        <v>644</v>
      </c>
      <c r="C37" s="126" t="str">
        <f>"Diode"</f>
        <v>Diode</v>
      </c>
      <c r="D37" s="639" t="str">
        <f>"Clamp Circuit Diode, Fast Recovery"</f>
        <v>Clamp Circuit Diode, Fast Recovery</v>
      </c>
      <c r="E37" s="640"/>
      <c r="F37" s="640"/>
      <c r="G37" s="127"/>
      <c r="H37" s="128" t="s">
        <v>118</v>
      </c>
      <c r="I37" s="487" t="s">
        <v>118</v>
      </c>
      <c r="J37" s="634" t="str">
        <f>CHOOSE(Q37,'Variable Mgmt'!Y65,'Variable Mgmt'!Y66,'Variable Mgmt'!Y67,'Variable Mgmt'!Y68)</f>
        <v>3.6 x 1.8</v>
      </c>
      <c r="K37" s="635">
        <f>CHOOSE(Q37,'Variable Mgmt'!Z65,'Variable Mgmt'!Z66,'Variable Mgmt'!Z67,'Variable Mgmt'!Z68)</f>
        <v>6.5</v>
      </c>
      <c r="L37" s="497"/>
      <c r="Q37" s="504">
        <v>3</v>
      </c>
    </row>
    <row r="38" spans="1:17" s="118" customFormat="1" ht="17.100000000000001" customHeight="1" x14ac:dyDescent="0.2">
      <c r="A38" s="124">
        <v>1</v>
      </c>
      <c r="B38" s="125" t="s">
        <v>639</v>
      </c>
      <c r="C38" s="126" t="s">
        <v>640</v>
      </c>
      <c r="D38" s="674" t="str">
        <f>"Clamp Circuit Diode, Zener, 24V"</f>
        <v>Clamp Circuit Diode, Zener, 24V</v>
      </c>
      <c r="E38" s="675"/>
      <c r="F38" s="675"/>
      <c r="G38" s="127" t="s">
        <v>119</v>
      </c>
      <c r="H38" s="128" t="s">
        <v>118</v>
      </c>
      <c r="I38" s="487" t="s">
        <v>118</v>
      </c>
      <c r="J38" s="634" t="str">
        <f>CHOOSE(Q38,'Variable Mgmt'!Y67,'Variable Mgmt'!Y68)</f>
        <v>5.0 x 2.7</v>
      </c>
      <c r="K38" s="635">
        <f>CHOOSE(Q38,'Variable Mgmt'!Z67,'Variable Mgmt'!Z68)</f>
        <v>13.5</v>
      </c>
      <c r="L38" s="497"/>
      <c r="Q38" s="504">
        <v>2</v>
      </c>
    </row>
    <row r="39" spans="1:17" s="118" customFormat="1" ht="17.100000000000001" customHeight="1" x14ac:dyDescent="0.2">
      <c r="A39" s="124">
        <v>1</v>
      </c>
      <c r="B39" s="125" t="s">
        <v>654</v>
      </c>
      <c r="C39" s="126" t="str">
        <f>ROUND(Vout*1.125,0)&amp;"V"</f>
        <v>14V</v>
      </c>
      <c r="D39" s="639" t="str">
        <f>"Output Clamp Diode, Zener, "&amp;ROUND(Vout*1.125,0)&amp;"V"</f>
        <v>Output Clamp Diode, Zener, 14V</v>
      </c>
      <c r="E39" s="640"/>
      <c r="F39" s="640"/>
      <c r="G39" s="127"/>
      <c r="H39" s="128" t="s">
        <v>118</v>
      </c>
      <c r="I39" s="487" t="s">
        <v>118</v>
      </c>
      <c r="J39" s="634" t="str">
        <f>CHOOSE(Q39,'Variable Mgmt'!T56,'Variable Mgmt'!T57,'Variable Mgmt'!T58)</f>
        <v>1.0 x 0.5</v>
      </c>
      <c r="K39" s="635">
        <f>CHOOSE(Q39,'Variable Mgmt'!Z65,'Variable Mgmt'!Z66,'Variable Mgmt'!Z67,'Variable Mgmt'!Z68)</f>
        <v>1.3</v>
      </c>
      <c r="L39" s="497"/>
      <c r="Q39" s="504">
        <v>1</v>
      </c>
    </row>
    <row r="40" spans="1:17" s="118" customFormat="1" ht="17.100000000000001" customHeight="1" x14ac:dyDescent="0.2">
      <c r="A40" s="124" t="str">
        <f>CHOOSE(MODE, "-", "1")</f>
        <v>-</v>
      </c>
      <c r="B40" s="125" t="s">
        <v>704</v>
      </c>
      <c r="C40" s="126" t="str">
        <f>CHOOSE(MODE, "-", ROUND(Vout2*1.125,0)&amp;"V")</f>
        <v>-</v>
      </c>
      <c r="D40" s="659" t="str">
        <f>CHOOSE(MODE, "-", "Output Clamp Diode, Zener, "&amp;ROUND(Vout2*1.125,0)&amp;"V")</f>
        <v>-</v>
      </c>
      <c r="E40" s="660"/>
      <c r="F40" s="660"/>
      <c r="G40" s="127"/>
      <c r="H40" s="128" t="str">
        <f>CHOOSE(MODE, "-", "Std")</f>
        <v>-</v>
      </c>
      <c r="I40" s="487" t="str">
        <f>CHOOSE(MODE, "-", "Std")</f>
        <v>-</v>
      </c>
      <c r="J40" s="634" t="str">
        <f>CHOOSE(MODE, "-", CHOOSE(Q40,'Variable Mgmt'!T57,'Variable Mgmt'!T58,'Variable Mgmt'!T59))</f>
        <v>-</v>
      </c>
      <c r="K40" s="635" t="str">
        <f>CHOOSE(MODE, "-", CHOOSE(Q40,'Variable Mgmt'!Z66,'Variable Mgmt'!Z67,'Variable Mgmt'!Z68,'Variable Mgmt'!Z69))</f>
        <v>-</v>
      </c>
      <c r="L40" s="497"/>
      <c r="Q40" s="504">
        <v>1</v>
      </c>
    </row>
    <row r="41" spans="1:17" s="118" customFormat="1" ht="17.100000000000001" customHeight="1" x14ac:dyDescent="0.2">
      <c r="A41" s="119">
        <v>1</v>
      </c>
      <c r="B41" s="120" t="s">
        <v>645</v>
      </c>
      <c r="C41" s="121">
        <v>12.1</v>
      </c>
      <c r="D41" s="672">
        <f t="shared" ref="D41" si="0">C41</f>
        <v>12.1</v>
      </c>
      <c r="E41" s="673"/>
      <c r="F41" s="673"/>
      <c r="G41" s="122" t="s">
        <v>119</v>
      </c>
      <c r="H41" s="123" t="s">
        <v>118</v>
      </c>
      <c r="I41" s="486" t="s">
        <v>118</v>
      </c>
      <c r="J41" s="494" t="str">
        <f>CHOOSE(Q41,'Variable Mgmt'!T56,'Variable Mgmt'!T57,'Variable Mgmt'!T58)</f>
        <v>1.0 x 0.5</v>
      </c>
      <c r="K41" s="492">
        <f>CHOOSE(Q41,'Variable Mgmt'!U56,'Variable Mgmt'!U57,'Variable Mgmt'!U58,'Variable Mgmt'!U59,'Variable Mgmt'!U60)</f>
        <v>0.5</v>
      </c>
      <c r="L41" s="497"/>
      <c r="Q41" s="504">
        <v>1</v>
      </c>
    </row>
    <row r="42" spans="1:17" s="118" customFormat="1" ht="17.100000000000001" customHeight="1" x14ac:dyDescent="0.2">
      <c r="A42" s="119">
        <v>1</v>
      </c>
      <c r="B42" s="120" t="s">
        <v>539</v>
      </c>
      <c r="C42" s="121">
        <f>Rfb/1000</f>
        <v>121</v>
      </c>
      <c r="D42" s="672">
        <f>C42</f>
        <v>121</v>
      </c>
      <c r="E42" s="673"/>
      <c r="F42" s="673"/>
      <c r="G42" s="122" t="s">
        <v>119</v>
      </c>
      <c r="H42" s="123" t="s">
        <v>118</v>
      </c>
      <c r="I42" s="486" t="s">
        <v>118</v>
      </c>
      <c r="J42" s="494" t="str">
        <f>CHOOSE(Q42,'Variable Mgmt'!T56,'Variable Mgmt'!T57,'Variable Mgmt'!T58)</f>
        <v>1.0 x 0.5</v>
      </c>
      <c r="K42" s="492">
        <f>CHOOSE(Q42,'Variable Mgmt'!U56,'Variable Mgmt'!U57,'Variable Mgmt'!U58,'Variable Mgmt'!U59,'Variable Mgmt'!U60)</f>
        <v>0.5</v>
      </c>
      <c r="L42" s="497"/>
      <c r="Q42" s="504">
        <v>1</v>
      </c>
    </row>
    <row r="43" spans="1:17" s="118" customFormat="1" ht="17.100000000000001" customHeight="1" x14ac:dyDescent="0.2">
      <c r="A43" s="119" t="str">
        <f>CHOOSE(MODE_UVLO, "1", "-")</f>
        <v>1</v>
      </c>
      <c r="B43" s="120" t="s">
        <v>126</v>
      </c>
      <c r="C43" s="465" t="str">
        <f>CHOOSE(MODE_UVLO, 'Variable Mgmt'!H230, "-")</f>
        <v>261k</v>
      </c>
      <c r="D43" s="681" t="str">
        <f>CHOOSE(MODE_UVLO, "Resistor, Chip, "&amp;'Variable Mgmt'!C230&amp;", 1/16W, 1%", "-")</f>
        <v>Resistor, Chip, 261kΩ, 1/16W, 1%</v>
      </c>
      <c r="E43" s="682"/>
      <c r="F43" s="682"/>
      <c r="G43" s="122" t="s">
        <v>119</v>
      </c>
      <c r="H43" s="123" t="str">
        <f t="shared" ref="H43:I44" si="1">CHOOSE(MODE_UVLO, "Std", "-")</f>
        <v>Std</v>
      </c>
      <c r="I43" s="486" t="str">
        <f t="shared" si="1"/>
        <v>Std</v>
      </c>
      <c r="J43" s="494" t="str">
        <f>CHOOSE(MODE_UVLO, CHOOSE(Q43,'Variable Mgmt'!T56,'Variable Mgmt'!T57,'Variable Mgmt'!T58), "-")</f>
        <v>1.0 x 0.5</v>
      </c>
      <c r="K43" s="492">
        <f>CHOOSE(MODE_UVLO, CHOOSE(Q43,'Variable Mgmt'!U56,'Variable Mgmt'!U57,'Variable Mgmt'!U58,'Variable Mgmt'!U59,'Variable Mgmt'!U60),"-")</f>
        <v>0.5</v>
      </c>
      <c r="L43" s="497"/>
      <c r="Q43" s="504">
        <v>1</v>
      </c>
    </row>
    <row r="44" spans="1:17" s="118" customFormat="1" ht="17.100000000000001" customHeight="1" x14ac:dyDescent="0.2">
      <c r="A44" s="119" t="str">
        <f>CHOOSE(MODE_UVLO, "1", "-")</f>
        <v>1</v>
      </c>
      <c r="B44" s="120" t="s">
        <v>127</v>
      </c>
      <c r="C44" s="465" t="str">
        <f>CHOOSE(MODE_UVLO, 'Variable Mgmt'!H231, "-")</f>
        <v>86.6k</v>
      </c>
      <c r="D44" s="681" t="str">
        <f>CHOOSE(MODE_UVLO, "Resistor, Chip, "&amp;'Variable Mgmt'!C231&amp;", 1/16W, 1%", "-")</f>
        <v>Resistor, Chip, 86.6kΩ, 1/16W, 1%</v>
      </c>
      <c r="E44" s="682"/>
      <c r="F44" s="682"/>
      <c r="G44" s="122" t="s">
        <v>119</v>
      </c>
      <c r="H44" s="123" t="str">
        <f t="shared" si="1"/>
        <v>Std</v>
      </c>
      <c r="I44" s="486" t="str">
        <f t="shared" si="1"/>
        <v>Std</v>
      </c>
      <c r="J44" s="494" t="str">
        <f>CHOOSE(MODE_UVLO, CHOOSE(Q44,'Variable Mgmt'!T56,'Variable Mgmt'!T57,'Variable Mgmt'!T58), "-")</f>
        <v>1.0 x 0.5</v>
      </c>
      <c r="K44" s="492">
        <f>CHOOSE(MODE_UVLO, CHOOSE(Q44,'Variable Mgmt'!U56,'Variable Mgmt'!U57,'Variable Mgmt'!U58,'Variable Mgmt'!U59,'Variable Mgmt'!U60),"-")</f>
        <v>0.5</v>
      </c>
      <c r="L44" s="497"/>
      <c r="Q44" s="504">
        <v>1</v>
      </c>
    </row>
    <row r="45" spans="1:17" s="118" customFormat="1" ht="17.100000000000001" customHeight="1" x14ac:dyDescent="0.2">
      <c r="A45" s="119" t="str">
        <f>CHOOSE(MODE_TC, "1", "-")</f>
        <v>1</v>
      </c>
      <c r="B45" s="120" t="s">
        <v>529</v>
      </c>
      <c r="C45" s="121">
        <f>CHOOSE(MODE_TC, RTC, "-")</f>
        <v>243</v>
      </c>
      <c r="D45" s="672" t="str">
        <f>CHOOSE(MODE_TC, "Resistor, Chip, "&amp;'Variable Mgmt'!B226&amp;", 1/16W, 1%", "-")</f>
        <v>Resistor, Chip, 243kΩ, 1/16W, 1%</v>
      </c>
      <c r="E45" s="673"/>
      <c r="F45" s="673"/>
      <c r="G45" s="122" t="s">
        <v>119</v>
      </c>
      <c r="H45" s="123" t="str">
        <f>CHOOSE(MODE_TC, "Std", "-")</f>
        <v>Std</v>
      </c>
      <c r="I45" s="486" t="str">
        <f>CHOOSE(MODE_TC, "Std", "-")</f>
        <v>Std</v>
      </c>
      <c r="J45" s="494" t="str">
        <f>CHOOSE(MODE_TC, CHOOSE(Q45,'Variable Mgmt'!T56,'Variable Mgmt'!T370,'Variable Mgmt'!T58), "-")</f>
        <v>1.0 x 0.5</v>
      </c>
      <c r="K45" s="492">
        <f>CHOOSE(MODE_TC, CHOOSE(Q45,'Variable Mgmt'!U56,'Variable Mgmt'!U57,'Variable Mgmt'!U58,'Variable Mgmt'!U59,'Variable Mgmt'!U60),"-")</f>
        <v>0.5</v>
      </c>
      <c r="L45" s="497"/>
      <c r="Q45" s="504">
        <v>1</v>
      </c>
    </row>
    <row r="46" spans="1:17" s="637" customFormat="1" ht="16.5" customHeight="1" x14ac:dyDescent="0.2">
      <c r="A46" s="124">
        <v>1</v>
      </c>
      <c r="B46" s="125" t="s">
        <v>538</v>
      </c>
      <c r="C46" s="633">
        <f>'Design PSR Flyback Converter'!L7</f>
        <v>7</v>
      </c>
      <c r="D46" s="678" t="str">
        <f>CHOOSE(VARIANT, "Transformer, "&amp;L*1000000&amp;"µH, "&amp;'Variable Mgmt'!W44&amp;", "&amp;Rdcr_pri*1000&amp;"mΩ Pri DCR, "&amp;"3A Sat", "Transformer, "&amp;L*1000000&amp;"µH, "&amp;'Variable Mgmt'!W44&amp;", "&amp;Rdcr_pri*1000&amp;"mΩ Pri DCR, "&amp;"5A Sat")</f>
        <v>Transformer, 7µH, 1 : 1, 40mΩ Pri DCR, 5A Sat</v>
      </c>
      <c r="E46" s="679"/>
      <c r="F46" s="680"/>
      <c r="G46" s="128" t="s">
        <v>125</v>
      </c>
      <c r="H46" s="128" t="s">
        <v>124</v>
      </c>
      <c r="I46" s="487" t="s">
        <v>124</v>
      </c>
      <c r="J46" s="634" t="str">
        <f>CHOOSE(Q46,'Variable Mgmt'!T65,'Variable Mgmt'!T66,'Variable Mgmt'!T67,'Variable Mgmt'!T68,'Variable Mgmt'!T69,'Variable Mgmt'!T70,'Variable Mgmt'!T71)</f>
        <v>11 x 13</v>
      </c>
      <c r="K46" s="642">
        <f>CHOOSE(Q46,'Variable Mgmt'!U65,'Variable Mgmt'!U66,'Variable Mgmt'!U67,'Variable Mgmt'!U68,'Variable Mgmt'!U69,'Variable Mgmt'!U70,'Variable Mgmt'!U71)</f>
        <v>143</v>
      </c>
      <c r="L46" s="636"/>
      <c r="Q46" s="638">
        <v>7</v>
      </c>
    </row>
    <row r="47" spans="1:17" ht="17.100000000000001" customHeight="1" x14ac:dyDescent="0.2">
      <c r="A47" s="469">
        <v>1</v>
      </c>
      <c r="B47" s="475" t="s">
        <v>128</v>
      </c>
      <c r="C47" s="496" t="s">
        <v>690</v>
      </c>
      <c r="D47" s="476" t="str">
        <f>CHOOSE(VARIANT, "IC, LM25183-Q1, PSR Flyback Converter, 4.5V–42V Input", "IC, LM25184-Q1, PSR Flyback Converter, 4.5V–42V Input")</f>
        <v>IC, LM25184-Q1, PSR Flyback Converter, 4.5V–42V Input</v>
      </c>
      <c r="E47" s="477"/>
      <c r="F47" s="478"/>
      <c r="G47" s="474" t="s">
        <v>536</v>
      </c>
      <c r="H47" s="474" t="str">
        <f>CHOOSE(VARIANT, "LM25183-Q1", "LM25184-Q1")</f>
        <v>LM25184-Q1</v>
      </c>
      <c r="I47" s="476" t="s">
        <v>360</v>
      </c>
      <c r="J47" s="495" t="s">
        <v>358</v>
      </c>
      <c r="K47" s="493">
        <v>16</v>
      </c>
      <c r="L47" s="473"/>
      <c r="M47" s="473"/>
      <c r="N47" s="118"/>
    </row>
    <row r="48" spans="1:17" ht="17.100000000000001" customHeight="1" x14ac:dyDescent="0.2">
      <c r="J48" s="118"/>
      <c r="K48" s="483"/>
      <c r="L48" s="473"/>
      <c r="M48" s="473"/>
      <c r="N48" s="118"/>
    </row>
    <row r="49" spans="1:14" ht="17.25" customHeight="1" x14ac:dyDescent="0.25">
      <c r="H49" s="1" t="s">
        <v>362</v>
      </c>
      <c r="I49" s="1"/>
      <c r="J49" s="1"/>
      <c r="K49" s="501">
        <f>SUM(K31:K47)*1.25</f>
        <v>266</v>
      </c>
      <c r="L49" s="507" t="s">
        <v>364</v>
      </c>
      <c r="M49" s="502">
        <f>K49/25.4/25.4</f>
        <v>0.41230082460164924</v>
      </c>
      <c r="N49" s="507" t="s">
        <v>361</v>
      </c>
    </row>
    <row r="50" spans="1:14" ht="17.100000000000001" customHeight="1" x14ac:dyDescent="0.25">
      <c r="J50" s="488"/>
      <c r="K50" s="489"/>
      <c r="L50" s="490"/>
      <c r="M50" s="491"/>
      <c r="N50" s="490"/>
    </row>
    <row r="51" spans="1:14" ht="20.25" customHeight="1" x14ac:dyDescent="0.2">
      <c r="A51" s="482" t="s">
        <v>137</v>
      </c>
    </row>
    <row r="52" spans="1:14" x14ac:dyDescent="0.2">
      <c r="A52" s="115" t="s">
        <v>689</v>
      </c>
    </row>
    <row r="53" spans="1:14" x14ac:dyDescent="0.2">
      <c r="A53" s="115" t="s">
        <v>363</v>
      </c>
      <c r="K53" s="481"/>
    </row>
    <row r="54" spans="1:14" x14ac:dyDescent="0.2">
      <c r="A54" s="115" t="s">
        <v>646</v>
      </c>
    </row>
    <row r="55" spans="1:14" x14ac:dyDescent="0.2">
      <c r="A55" s="115" t="s">
        <v>647</v>
      </c>
    </row>
    <row r="56" spans="1:14" x14ac:dyDescent="0.2">
      <c r="A56" s="115" t="s">
        <v>660</v>
      </c>
    </row>
  </sheetData>
  <sheetProtection password="CCC8" sheet="1" objects="1" scenarios="1" selectLockedCells="1" selectUnlockedCells="1"/>
  <mergeCells count="14">
    <mergeCell ref="H49:J49"/>
    <mergeCell ref="D31:F31"/>
    <mergeCell ref="D30:F30"/>
    <mergeCell ref="D41:F41"/>
    <mergeCell ref="D42:F42"/>
    <mergeCell ref="D38:F38"/>
    <mergeCell ref="D36:F36"/>
    <mergeCell ref="D35:F35"/>
    <mergeCell ref="D46:F46"/>
    <mergeCell ref="D43:F43"/>
    <mergeCell ref="D44:F44"/>
    <mergeCell ref="D45:F45"/>
    <mergeCell ref="D32:F32"/>
    <mergeCell ref="D34:F34"/>
  </mergeCells>
  <printOptions horizontalCentered="1"/>
  <pageMargins left="0.23" right="0.23" top="0.7" bottom="0.61" header="0.3" footer="0.5"/>
  <pageSetup scale="84" fitToHeight="2" orientation="landscape" r:id="rId1"/>
  <headerFooter alignWithMargins="0"/>
  <rowBreaks count="1" manualBreakCount="1">
    <brk id="27" max="9" man="1"/>
  </rowBreaks>
  <ignoredErrors>
    <ignoredError sqref="G34 G36 G38 G43:G44 G41" numberStoredAsText="1"/>
    <ignoredError sqref="K36 K38 J4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74505" r:id="rId4" name="Drop Down 713">
              <controlPr defaultSize="0" autoLine="0" autoPict="0">
                <anchor moveWithCells="1">
                  <from>
                    <xdr:col>6</xdr:col>
                    <xdr:colOff>0</xdr:colOff>
                    <xdr:row>30</xdr:row>
                    <xdr:rowOff>9525</xdr:rowOff>
                  </from>
                  <to>
                    <xdr:col>6</xdr:col>
                    <xdr:colOff>876300</xdr:colOff>
                    <xdr:row>31</xdr:row>
                    <xdr:rowOff>0</xdr:rowOff>
                  </to>
                </anchor>
              </controlPr>
            </control>
          </mc:Choice>
        </mc:AlternateContent>
        <mc:AlternateContent xmlns:mc="http://schemas.openxmlformats.org/markup-compatibility/2006">
          <mc:Choice Requires="x14">
            <control shapeId="674508" r:id="rId5" name="Drop Down 716">
              <controlPr defaultSize="0" autoLine="0" autoPict="0">
                <anchor moveWithCells="1">
                  <from>
                    <xdr:col>6</xdr:col>
                    <xdr:colOff>0</xdr:colOff>
                    <xdr:row>31</xdr:row>
                    <xdr:rowOff>9525</xdr:rowOff>
                  </from>
                  <to>
                    <xdr:col>6</xdr:col>
                    <xdr:colOff>876300</xdr:colOff>
                    <xdr:row>32</xdr:row>
                    <xdr:rowOff>0</xdr:rowOff>
                  </to>
                </anchor>
              </controlPr>
            </control>
          </mc:Choice>
        </mc:AlternateContent>
        <mc:AlternateContent xmlns:mc="http://schemas.openxmlformats.org/markup-compatibility/2006">
          <mc:Choice Requires="x14">
            <control shapeId="674527" r:id="rId6" name="Drop Down 735">
              <controlPr defaultSize="0" autoLine="0" autoPict="0">
                <anchor moveWithCells="1">
                  <from>
                    <xdr:col>6</xdr:col>
                    <xdr:colOff>0</xdr:colOff>
                    <xdr:row>35</xdr:row>
                    <xdr:rowOff>9525</xdr:rowOff>
                  </from>
                  <to>
                    <xdr:col>6</xdr:col>
                    <xdr:colOff>876300</xdr:colOff>
                    <xdr:row>36</xdr:row>
                    <xdr:rowOff>0</xdr:rowOff>
                  </to>
                </anchor>
              </controlPr>
            </control>
          </mc:Choice>
        </mc:AlternateContent>
        <mc:AlternateContent xmlns:mc="http://schemas.openxmlformats.org/markup-compatibility/2006">
          <mc:Choice Requires="x14">
            <control shapeId="674534" r:id="rId7" name="Drop Down 742">
              <controlPr defaultSize="0" autoLine="0" autoPict="0">
                <anchor moveWithCells="1">
                  <from>
                    <xdr:col>6</xdr:col>
                    <xdr:colOff>0</xdr:colOff>
                    <xdr:row>41</xdr:row>
                    <xdr:rowOff>9525</xdr:rowOff>
                  </from>
                  <to>
                    <xdr:col>6</xdr:col>
                    <xdr:colOff>876300</xdr:colOff>
                    <xdr:row>42</xdr:row>
                    <xdr:rowOff>0</xdr:rowOff>
                  </to>
                </anchor>
              </controlPr>
            </control>
          </mc:Choice>
        </mc:AlternateContent>
        <mc:AlternateContent xmlns:mc="http://schemas.openxmlformats.org/markup-compatibility/2006">
          <mc:Choice Requires="x14">
            <control shapeId="674536" r:id="rId8" name="Drop Down 744">
              <controlPr defaultSize="0" autoLine="0" autoPict="0">
                <anchor moveWithCells="1">
                  <from>
                    <xdr:col>6</xdr:col>
                    <xdr:colOff>0</xdr:colOff>
                    <xdr:row>37</xdr:row>
                    <xdr:rowOff>9525</xdr:rowOff>
                  </from>
                  <to>
                    <xdr:col>6</xdr:col>
                    <xdr:colOff>876300</xdr:colOff>
                    <xdr:row>38</xdr:row>
                    <xdr:rowOff>0</xdr:rowOff>
                  </to>
                </anchor>
              </controlPr>
            </control>
          </mc:Choice>
        </mc:AlternateContent>
        <mc:AlternateContent xmlns:mc="http://schemas.openxmlformats.org/markup-compatibility/2006">
          <mc:Choice Requires="x14">
            <control shapeId="674539" r:id="rId9" name="Drop Down 747">
              <controlPr defaultSize="0" autoLine="0" autoPict="0">
                <anchor moveWithCells="1">
                  <from>
                    <xdr:col>6</xdr:col>
                    <xdr:colOff>0</xdr:colOff>
                    <xdr:row>36</xdr:row>
                    <xdr:rowOff>9525</xdr:rowOff>
                  </from>
                  <to>
                    <xdr:col>6</xdr:col>
                    <xdr:colOff>876300</xdr:colOff>
                    <xdr:row>37</xdr:row>
                    <xdr:rowOff>0</xdr:rowOff>
                  </to>
                </anchor>
              </controlPr>
            </control>
          </mc:Choice>
        </mc:AlternateContent>
        <mc:AlternateContent xmlns:mc="http://schemas.openxmlformats.org/markup-compatibility/2006">
          <mc:Choice Requires="x14">
            <control shapeId="674540" r:id="rId10" name="Drop Down 748">
              <controlPr defaultSize="0" autoLine="0" autoPict="0">
                <anchor moveWithCells="1">
                  <from>
                    <xdr:col>6</xdr:col>
                    <xdr:colOff>0</xdr:colOff>
                    <xdr:row>40</xdr:row>
                    <xdr:rowOff>9525</xdr:rowOff>
                  </from>
                  <to>
                    <xdr:col>6</xdr:col>
                    <xdr:colOff>876300</xdr:colOff>
                    <xdr:row>41</xdr:row>
                    <xdr:rowOff>0</xdr:rowOff>
                  </to>
                </anchor>
              </controlPr>
            </control>
          </mc:Choice>
        </mc:AlternateContent>
        <mc:AlternateContent xmlns:mc="http://schemas.openxmlformats.org/markup-compatibility/2006">
          <mc:Choice Requires="x14">
            <control shapeId="674541" r:id="rId11" name="Drop Down 749">
              <controlPr defaultSize="0" autoLine="0" autoPict="0">
                <anchor moveWithCells="1">
                  <from>
                    <xdr:col>6</xdr:col>
                    <xdr:colOff>0</xdr:colOff>
                    <xdr:row>42</xdr:row>
                    <xdr:rowOff>9525</xdr:rowOff>
                  </from>
                  <to>
                    <xdr:col>6</xdr:col>
                    <xdr:colOff>876300</xdr:colOff>
                    <xdr:row>43</xdr:row>
                    <xdr:rowOff>0</xdr:rowOff>
                  </to>
                </anchor>
              </controlPr>
            </control>
          </mc:Choice>
        </mc:AlternateContent>
        <mc:AlternateContent xmlns:mc="http://schemas.openxmlformats.org/markup-compatibility/2006">
          <mc:Choice Requires="x14">
            <control shapeId="674542" r:id="rId12" name="Drop Down 750">
              <controlPr defaultSize="0" autoLine="0" autoPict="0">
                <anchor moveWithCells="1">
                  <from>
                    <xdr:col>6</xdr:col>
                    <xdr:colOff>0</xdr:colOff>
                    <xdr:row>43</xdr:row>
                    <xdr:rowOff>9525</xdr:rowOff>
                  </from>
                  <to>
                    <xdr:col>6</xdr:col>
                    <xdr:colOff>876300</xdr:colOff>
                    <xdr:row>44</xdr:row>
                    <xdr:rowOff>0</xdr:rowOff>
                  </to>
                </anchor>
              </controlPr>
            </control>
          </mc:Choice>
        </mc:AlternateContent>
        <mc:AlternateContent xmlns:mc="http://schemas.openxmlformats.org/markup-compatibility/2006">
          <mc:Choice Requires="x14">
            <control shapeId="674543" r:id="rId13" name="Drop Down 751">
              <controlPr defaultSize="0" autoLine="0" autoPict="0">
                <anchor moveWithCells="1">
                  <from>
                    <xdr:col>6</xdr:col>
                    <xdr:colOff>0</xdr:colOff>
                    <xdr:row>44</xdr:row>
                    <xdr:rowOff>9525</xdr:rowOff>
                  </from>
                  <to>
                    <xdr:col>6</xdr:col>
                    <xdr:colOff>876300</xdr:colOff>
                    <xdr:row>45</xdr:row>
                    <xdr:rowOff>0</xdr:rowOff>
                  </to>
                </anchor>
              </controlPr>
            </control>
          </mc:Choice>
        </mc:AlternateContent>
        <mc:AlternateContent xmlns:mc="http://schemas.openxmlformats.org/markup-compatibility/2006">
          <mc:Choice Requires="x14">
            <control shapeId="674544" r:id="rId14" name="Drop Down 752">
              <controlPr defaultSize="0" autoLine="0" autoPict="0">
                <anchor moveWithCells="1">
                  <from>
                    <xdr:col>6</xdr:col>
                    <xdr:colOff>0</xdr:colOff>
                    <xdr:row>34</xdr:row>
                    <xdr:rowOff>9525</xdr:rowOff>
                  </from>
                  <to>
                    <xdr:col>6</xdr:col>
                    <xdr:colOff>876300</xdr:colOff>
                    <xdr:row>35</xdr:row>
                    <xdr:rowOff>0</xdr:rowOff>
                  </to>
                </anchor>
              </controlPr>
            </control>
          </mc:Choice>
        </mc:AlternateContent>
        <mc:AlternateContent xmlns:mc="http://schemas.openxmlformats.org/markup-compatibility/2006">
          <mc:Choice Requires="x14">
            <control shapeId="674632" r:id="rId15" name="Drop Down 840">
              <controlPr defaultSize="0" autoLine="0" autoPict="0">
                <anchor moveWithCells="1">
                  <from>
                    <xdr:col>6</xdr:col>
                    <xdr:colOff>0</xdr:colOff>
                    <xdr:row>45</xdr:row>
                    <xdr:rowOff>9525</xdr:rowOff>
                  </from>
                  <to>
                    <xdr:col>6</xdr:col>
                    <xdr:colOff>876300</xdr:colOff>
                    <xdr:row>46</xdr:row>
                    <xdr:rowOff>0</xdr:rowOff>
                  </to>
                </anchor>
              </controlPr>
            </control>
          </mc:Choice>
        </mc:AlternateContent>
        <mc:AlternateContent xmlns:mc="http://schemas.openxmlformats.org/markup-compatibility/2006">
          <mc:Choice Requires="x14">
            <control shapeId="674633" r:id="rId16" name="Drop Down 841">
              <controlPr defaultSize="0" autoLine="0" autoPict="0">
                <anchor moveWithCells="1">
                  <from>
                    <xdr:col>6</xdr:col>
                    <xdr:colOff>0</xdr:colOff>
                    <xdr:row>33</xdr:row>
                    <xdr:rowOff>9525</xdr:rowOff>
                  </from>
                  <to>
                    <xdr:col>6</xdr:col>
                    <xdr:colOff>876300</xdr:colOff>
                    <xdr:row>34</xdr:row>
                    <xdr:rowOff>0</xdr:rowOff>
                  </to>
                </anchor>
              </controlPr>
            </control>
          </mc:Choice>
        </mc:AlternateContent>
        <mc:AlternateContent xmlns:mc="http://schemas.openxmlformats.org/markup-compatibility/2006">
          <mc:Choice Requires="x14">
            <control shapeId="706019" r:id="rId17" name="Drop Down 1507">
              <controlPr defaultSize="0" autoLine="0" autoPict="0">
                <anchor moveWithCells="1">
                  <from>
                    <xdr:col>5</xdr:col>
                    <xdr:colOff>895350</xdr:colOff>
                    <xdr:row>32</xdr:row>
                    <xdr:rowOff>9525</xdr:rowOff>
                  </from>
                  <to>
                    <xdr:col>6</xdr:col>
                    <xdr:colOff>866775</xdr:colOff>
                    <xdr:row>33</xdr:row>
                    <xdr:rowOff>0</xdr:rowOff>
                  </to>
                </anchor>
              </controlPr>
            </control>
          </mc:Choice>
        </mc:AlternateContent>
        <mc:AlternateContent xmlns:mc="http://schemas.openxmlformats.org/markup-compatibility/2006">
          <mc:Choice Requires="x14">
            <control shapeId="706028" r:id="rId18" name="Drop Down 1516">
              <controlPr defaultSize="0" autoLine="0" autoPict="0">
                <anchor moveWithCells="1">
                  <from>
                    <xdr:col>6</xdr:col>
                    <xdr:colOff>0</xdr:colOff>
                    <xdr:row>38</xdr:row>
                    <xdr:rowOff>9525</xdr:rowOff>
                  </from>
                  <to>
                    <xdr:col>6</xdr:col>
                    <xdr:colOff>876300</xdr:colOff>
                    <xdr:row>39</xdr:row>
                    <xdr:rowOff>0</xdr:rowOff>
                  </to>
                </anchor>
              </controlPr>
            </control>
          </mc:Choice>
        </mc:AlternateContent>
        <mc:AlternateContent xmlns:mc="http://schemas.openxmlformats.org/markup-compatibility/2006">
          <mc:Choice Requires="x14">
            <control shapeId="706335" r:id="rId19" name="Drop Down 1823">
              <controlPr defaultSize="0" autoLine="0" autoPict="0">
                <anchor moveWithCells="1">
                  <from>
                    <xdr:col>6</xdr:col>
                    <xdr:colOff>0</xdr:colOff>
                    <xdr:row>39</xdr:row>
                    <xdr:rowOff>9525</xdr:rowOff>
                  </from>
                  <to>
                    <xdr:col>6</xdr:col>
                    <xdr:colOff>876300</xdr:colOff>
                    <xdr:row>40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4B8E3D35-A815-4471-905F-8419AAA9FC23}">
            <xm:f>'Variable Mgmt'!$B$52=TRUE</xm:f>
            <x14:dxf>
              <font>
                <color theme="0"/>
              </font>
            </x14:dxf>
          </x14:cfRule>
          <xm:sqref>B36</xm:sqref>
        </x14:conditionalFormatting>
        <x14:conditionalFormatting xmlns:xm="http://schemas.microsoft.com/office/excel/2006/main">
          <x14:cfRule type="expression" priority="2" id="{8521D621-BE3D-4AAE-900E-18DA0D0FAC8E}">
            <xm:f>'Variable Mgmt'!$B$52=TRUE</xm:f>
            <x14:dxf>
              <font>
                <color rgb="FFFFFF99"/>
              </font>
            </x14:dxf>
          </x14:cfRule>
          <xm:sqref>B33</xm:sqref>
        </x14:conditionalFormatting>
        <x14:conditionalFormatting xmlns:xm="http://schemas.microsoft.com/office/excel/2006/main">
          <x14:cfRule type="expression" priority="1" id="{3E1DA943-3F9A-45BF-AC2B-838E4C317940}">
            <xm:f>'Variable Mgmt'!$B$52=TRUE</xm:f>
            <x14:dxf>
              <font>
                <color theme="0"/>
              </font>
            </x14:dxf>
          </x14:cfRule>
          <xm:sqref>B40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pageSetUpPr fitToPage="1"/>
  </sheetPr>
  <dimension ref="A1:R6"/>
  <sheetViews>
    <sheetView zoomScaleNormal="100" workbookViewId="0">
      <selection activeCell="B7" sqref="B7"/>
    </sheetView>
  </sheetViews>
  <sheetFormatPr defaultColWidth="9.140625" defaultRowHeight="12.75" x14ac:dyDescent="0.2"/>
  <cols>
    <col min="1" max="13" width="9.140625" style="85"/>
    <col min="14" max="14" width="11.85546875" style="85" customWidth="1"/>
    <col min="15" max="16" width="9.140625" style="85"/>
    <col min="17" max="17" width="15.7109375" style="85" customWidth="1"/>
    <col min="18" max="16384" width="9.140625" style="85"/>
  </cols>
  <sheetData>
    <row r="1" spans="1:18" s="76" customFormat="1" ht="47.25" customHeight="1" x14ac:dyDescent="0.2">
      <c r="A1" s="687" t="s">
        <v>706</v>
      </c>
      <c r="B1" s="688"/>
      <c r="C1" s="688"/>
      <c r="D1" s="688"/>
      <c r="E1" s="688"/>
      <c r="F1" s="688"/>
      <c r="G1" s="688"/>
      <c r="H1" s="688"/>
      <c r="I1" s="688"/>
      <c r="J1" s="688"/>
      <c r="K1" s="688"/>
      <c r="L1" s="688"/>
      <c r="M1" s="688"/>
      <c r="N1" s="688"/>
      <c r="O1" s="688"/>
      <c r="P1" s="688"/>
      <c r="Q1" s="688"/>
      <c r="R1" s="83"/>
    </row>
    <row r="6" spans="1:18" ht="20.25" x14ac:dyDescent="0.3">
      <c r="B6" s="86" t="s">
        <v>707</v>
      </c>
      <c r="N6" s="86"/>
    </row>
  </sheetData>
  <sheetProtection password="CCC8" sheet="1" objects="1" scenarios="1"/>
  <mergeCells count="1">
    <mergeCell ref="A1:Q1"/>
  </mergeCells>
  <pageMargins left="0.19" right="0.2" top="0.75" bottom="0.75" header="0.3" footer="0.3"/>
  <pageSetup scale="5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00FF"/>
  </sheetPr>
  <dimension ref="A1:Z268"/>
  <sheetViews>
    <sheetView workbookViewId="0">
      <pane ySplit="5" topLeftCell="A66" activePane="bottomLeft" state="frozenSplit"/>
      <selection pane="bottomLeft" activeCell="B91" sqref="B91"/>
    </sheetView>
  </sheetViews>
  <sheetFormatPr defaultRowHeight="12.75" x14ac:dyDescent="0.2"/>
  <cols>
    <col min="1" max="1" width="40.42578125" customWidth="1"/>
    <col min="2" max="2" width="11.85546875" customWidth="1"/>
    <col min="3" max="3" width="9.42578125" style="4" customWidth="1"/>
    <col min="4" max="4" width="10.28515625" customWidth="1"/>
    <col min="5" max="5" width="11.5703125" customWidth="1"/>
    <col min="6" max="6" width="14.85546875" customWidth="1"/>
    <col min="7" max="7" width="12.42578125" bestFit="1" customWidth="1"/>
    <col min="8" max="8" width="20.140625" customWidth="1"/>
    <col min="9" max="9" width="14.42578125" customWidth="1"/>
    <col min="10" max="10" width="12.42578125" bestFit="1" customWidth="1"/>
    <col min="11" max="11" width="12" customWidth="1"/>
    <col min="12" max="12" width="8.85546875" customWidth="1"/>
    <col min="13" max="13" width="7" customWidth="1"/>
    <col min="14" max="14" width="9.28515625" customWidth="1"/>
    <col min="16" max="16" width="7.140625" customWidth="1"/>
    <col min="17" max="17" width="11" customWidth="1"/>
    <col min="18" max="18" width="13.85546875" customWidth="1"/>
    <col min="19" max="19" width="5.42578125" customWidth="1"/>
    <col min="20" max="20" width="16.28515625" customWidth="1"/>
    <col min="22" max="22" width="9.7109375" customWidth="1"/>
    <col min="23" max="23" width="11.28515625" customWidth="1"/>
    <col min="24" max="24" width="5.85546875" customWidth="1"/>
    <col min="26" max="26" width="7.85546875" customWidth="1"/>
  </cols>
  <sheetData>
    <row r="1" spans="1:12" ht="30.75" customHeight="1" x14ac:dyDescent="0.4">
      <c r="A1" s="690" t="s">
        <v>172</v>
      </c>
      <c r="B1" s="690"/>
      <c r="C1" s="690"/>
      <c r="D1" s="690"/>
      <c r="E1" s="690"/>
      <c r="F1" s="690"/>
      <c r="G1" s="690"/>
      <c r="H1" s="690"/>
      <c r="I1" s="690"/>
    </row>
    <row r="2" spans="1:12" ht="12" customHeight="1" x14ac:dyDescent="0.2">
      <c r="A2" s="20"/>
      <c r="B2" s="20" t="s">
        <v>81</v>
      </c>
      <c r="C2" s="21"/>
      <c r="E2" s="20"/>
      <c r="F2" s="20"/>
      <c r="G2" s="20"/>
      <c r="H2" s="20"/>
      <c r="I2" s="20"/>
    </row>
    <row r="3" spans="1:12" ht="11.25" customHeight="1" x14ac:dyDescent="0.2">
      <c r="A3" s="20"/>
      <c r="B3" s="20" t="s">
        <v>100</v>
      </c>
      <c r="C3" s="22"/>
      <c r="E3" s="20"/>
      <c r="F3" s="20"/>
      <c r="G3" s="20"/>
      <c r="H3" s="20"/>
      <c r="I3" s="20"/>
    </row>
    <row r="4" spans="1:12" ht="11.25" customHeight="1" x14ac:dyDescent="0.2">
      <c r="A4" s="20"/>
      <c r="B4" s="20" t="s">
        <v>82</v>
      </c>
      <c r="C4" s="23"/>
      <c r="E4" s="20"/>
      <c r="F4" s="20"/>
      <c r="G4" s="20"/>
      <c r="H4" s="20"/>
      <c r="I4" s="20"/>
    </row>
    <row r="5" spans="1:12" x14ac:dyDescent="0.2">
      <c r="A5" s="4" t="s">
        <v>19</v>
      </c>
      <c r="B5" s="4" t="s">
        <v>6</v>
      </c>
      <c r="C5" s="4" t="s">
        <v>7</v>
      </c>
      <c r="E5" s="689" t="s">
        <v>9</v>
      </c>
      <c r="F5" s="689"/>
      <c r="G5" s="689"/>
      <c r="H5" s="689"/>
      <c r="I5" s="4" t="s">
        <v>174</v>
      </c>
    </row>
    <row r="6" spans="1:12" ht="16.5" thickBot="1" x14ac:dyDescent="0.3">
      <c r="A6" s="51" t="s">
        <v>61</v>
      </c>
      <c r="B6" s="40"/>
      <c r="C6" s="40"/>
      <c r="D6" s="40"/>
      <c r="E6" s="52"/>
      <c r="F6" s="52"/>
      <c r="G6" s="52"/>
      <c r="H6" s="52"/>
      <c r="I6" s="40"/>
    </row>
    <row r="7" spans="1:12" x14ac:dyDescent="0.2">
      <c r="A7" s="110" t="s">
        <v>145</v>
      </c>
      <c r="B7" s="10">
        <f>'Design PSR Flyback Converter'!E6</f>
        <v>9</v>
      </c>
      <c r="C7" s="32" t="s">
        <v>0</v>
      </c>
      <c r="D7" s="80" t="s">
        <v>146</v>
      </c>
      <c r="E7" s="32"/>
      <c r="F7" s="32"/>
      <c r="G7" s="32"/>
      <c r="H7" s="32"/>
      <c r="I7" s="33">
        <v>1</v>
      </c>
    </row>
    <row r="8" spans="1:12" x14ac:dyDescent="0.2">
      <c r="A8" s="111" t="s">
        <v>143</v>
      </c>
      <c r="B8" s="11">
        <f>'Design PSR Flyback Converter'!E7</f>
        <v>13.5</v>
      </c>
      <c r="C8" s="8" t="s">
        <v>0</v>
      </c>
      <c r="D8" s="8" t="s">
        <v>10</v>
      </c>
      <c r="F8" s="8"/>
      <c r="G8" s="8"/>
      <c r="H8" s="8"/>
      <c r="I8" s="26"/>
    </row>
    <row r="9" spans="1:12" x14ac:dyDescent="0.2">
      <c r="A9" s="111" t="s">
        <v>144</v>
      </c>
      <c r="B9" s="11">
        <f>'Design PSR Flyback Converter'!E8</f>
        <v>42</v>
      </c>
      <c r="C9" s="8" t="s">
        <v>0</v>
      </c>
      <c r="D9" s="78" t="s">
        <v>147</v>
      </c>
      <c r="F9" s="8"/>
      <c r="G9" s="8"/>
      <c r="H9" s="8"/>
      <c r="I9" s="26"/>
    </row>
    <row r="10" spans="1:12" x14ac:dyDescent="0.2">
      <c r="A10" s="111"/>
      <c r="B10" s="210"/>
      <c r="C10" s="61"/>
      <c r="D10" s="78"/>
      <c r="F10" s="8"/>
      <c r="G10" s="8"/>
      <c r="H10" s="8"/>
      <c r="I10" s="26"/>
    </row>
    <row r="11" spans="1:12" x14ac:dyDescent="0.2">
      <c r="A11" s="25" t="s">
        <v>4</v>
      </c>
      <c r="B11" s="11">
        <f>'Design PSR Flyback Converter'!E10</f>
        <v>12</v>
      </c>
      <c r="C11" s="8" t="s">
        <v>0</v>
      </c>
      <c r="D11" s="78" t="s">
        <v>579</v>
      </c>
      <c r="F11" s="8"/>
      <c r="G11" s="8">
        <f>(Vout+Vfwd1)*Nps</f>
        <v>12.25</v>
      </c>
      <c r="H11" s="8"/>
      <c r="I11" s="26">
        <v>1</v>
      </c>
      <c r="K11" t="str">
        <f>'Variable Mgmt'!B51&amp;" Output PSR Flyback Converter, "&amp;"VIN = "&amp;Vin&amp;" V, VOUT = "&amp;Vout&amp;" V, IOUT = "&amp;Iout&amp;" A"</f>
        <v>SINGLE Output PSR Flyback Converter, VIN = 13.5 V, VOUT = 12 V, IOUT = 0.8 A</v>
      </c>
    </row>
    <row r="12" spans="1:12" x14ac:dyDescent="0.2">
      <c r="A12" s="25" t="s">
        <v>5</v>
      </c>
      <c r="B12" s="589">
        <f>'Design PSR Flyback Converter'!E11</f>
        <v>0.8</v>
      </c>
      <c r="C12" s="78" t="s">
        <v>1</v>
      </c>
      <c r="D12" s="78" t="s">
        <v>669</v>
      </c>
      <c r="F12" s="8"/>
      <c r="G12" s="8"/>
      <c r="H12" s="8"/>
      <c r="I12" s="26">
        <v>1</v>
      </c>
      <c r="K12" t="str">
        <f>'Variable Mgmt'!B51&amp;" Output PSR Flyback Converter, "&amp;"VIN = "&amp;Vin&amp;" V, VOUT1 = "&amp;Vout&amp;" V, IOUT1 = "&amp;Iout&amp;" A"&amp;", VOUT2 = "&amp;Vout2_actual&amp;" V, IOUT2 = "&amp;Iout2_actual&amp;" A"</f>
        <v>SINGLE Output PSR Flyback Converter, VIN = 13.5 V, VOUT1 = 12 V, IOUT1 = 0.8 A, VOUT2 = 12 V, IOUT2 = 0.5 A</v>
      </c>
      <c r="L12" s="77"/>
    </row>
    <row r="13" spans="1:12" x14ac:dyDescent="0.2">
      <c r="A13" s="111" t="s">
        <v>169</v>
      </c>
      <c r="B13" s="158">
        <f>Vout/Iout</f>
        <v>15</v>
      </c>
      <c r="C13" s="114" t="s">
        <v>45</v>
      </c>
      <c r="D13" s="112" t="s">
        <v>170</v>
      </c>
      <c r="F13" s="8"/>
      <c r="G13" s="8"/>
      <c r="H13" s="8"/>
      <c r="I13" s="26"/>
    </row>
    <row r="14" spans="1:12" x14ac:dyDescent="0.2">
      <c r="A14" s="111" t="s">
        <v>153</v>
      </c>
      <c r="B14" s="588">
        <f>Vout*Iout</f>
        <v>9.6000000000000014</v>
      </c>
      <c r="C14" s="61" t="s">
        <v>45</v>
      </c>
      <c r="D14" s="112" t="s">
        <v>159</v>
      </c>
      <c r="F14" s="8"/>
      <c r="G14" s="8"/>
      <c r="H14" s="8"/>
      <c r="I14" s="26"/>
      <c r="L14" s="77"/>
    </row>
    <row r="15" spans="1:12" x14ac:dyDescent="0.2">
      <c r="B15" s="376"/>
      <c r="C15" s="61"/>
      <c r="D15" s="112"/>
      <c r="F15" s="8"/>
      <c r="G15" s="8"/>
      <c r="H15" s="8"/>
      <c r="I15" s="26"/>
      <c r="L15" s="77"/>
    </row>
    <row r="16" spans="1:12" x14ac:dyDescent="0.2">
      <c r="A16" s="111" t="s">
        <v>624</v>
      </c>
      <c r="B16" s="590">
        <f>ABS('Design PSR Flyback Converter'!E12)</f>
        <v>12</v>
      </c>
      <c r="C16" s="8" t="s">
        <v>0</v>
      </c>
      <c r="D16" s="78" t="s">
        <v>581</v>
      </c>
      <c r="F16" s="8"/>
      <c r="G16" s="8"/>
      <c r="H16" s="8"/>
      <c r="I16" s="26"/>
      <c r="L16" s="77"/>
    </row>
    <row r="17" spans="1:23" x14ac:dyDescent="0.2">
      <c r="A17" s="111" t="s">
        <v>625</v>
      </c>
      <c r="B17" s="631">
        <f>'Design PSR Flyback Converter'!E12</f>
        <v>12</v>
      </c>
      <c r="C17" s="61" t="s">
        <v>0</v>
      </c>
      <c r="D17" s="78"/>
      <c r="F17" s="8"/>
      <c r="G17" s="8"/>
      <c r="H17" s="8"/>
      <c r="I17" s="26"/>
      <c r="L17" s="77"/>
    </row>
    <row r="18" spans="1:23" x14ac:dyDescent="0.2">
      <c r="A18" s="111" t="s">
        <v>511</v>
      </c>
      <c r="B18" s="590">
        <f>ABS('Design PSR Flyback Converter'!E13)</f>
        <v>0.5</v>
      </c>
      <c r="C18" s="78" t="s">
        <v>1</v>
      </c>
      <c r="D18" s="78" t="s">
        <v>580</v>
      </c>
      <c r="F18" s="8"/>
      <c r="G18" s="8"/>
      <c r="H18" s="8"/>
      <c r="I18" s="26"/>
      <c r="L18" s="77"/>
      <c r="R18" s="159" t="s">
        <v>693</v>
      </c>
      <c r="S18" s="165">
        <v>1</v>
      </c>
    </row>
    <row r="19" spans="1:23" x14ac:dyDescent="0.2">
      <c r="A19" s="112" t="s">
        <v>668</v>
      </c>
      <c r="B19">
        <f>Iout2*SIGN(Vout2_actual)</f>
        <v>0.5</v>
      </c>
      <c r="C19" s="77" t="s">
        <v>1</v>
      </c>
      <c r="F19" s="8"/>
      <c r="G19" s="8"/>
      <c r="H19" s="8"/>
      <c r="I19" s="26"/>
      <c r="L19" s="77"/>
      <c r="R19" s="159" t="s">
        <v>692</v>
      </c>
      <c r="S19" s="165">
        <v>2</v>
      </c>
    </row>
    <row r="20" spans="1:23" x14ac:dyDescent="0.2">
      <c r="A20" s="111" t="s">
        <v>512</v>
      </c>
      <c r="B20" s="588">
        <f>ABS(Vout2/Iout2)</f>
        <v>24</v>
      </c>
      <c r="C20" s="114" t="s">
        <v>45</v>
      </c>
      <c r="D20" s="112" t="s">
        <v>514</v>
      </c>
      <c r="F20" s="8"/>
      <c r="G20" s="8"/>
      <c r="H20" s="8"/>
      <c r="I20" s="26"/>
      <c r="K20" s="77" t="s">
        <v>545</v>
      </c>
      <c r="L20" s="77" t="s">
        <v>546</v>
      </c>
      <c r="Q20" s="380" t="s">
        <v>691</v>
      </c>
      <c r="R20" s="162" t="str">
        <f>CHOOSE(VARIANT, "LM25183", "LM25184")</f>
        <v>LM25184</v>
      </c>
      <c r="S20" s="379">
        <v>2</v>
      </c>
    </row>
    <row r="21" spans="1:23" x14ac:dyDescent="0.2">
      <c r="A21" s="111" t="s">
        <v>513</v>
      </c>
      <c r="B21" s="588">
        <f>ABS(Vout2*Iout2)</f>
        <v>6</v>
      </c>
      <c r="C21" s="61" t="s">
        <v>45</v>
      </c>
      <c r="D21" s="112" t="s">
        <v>515</v>
      </c>
      <c r="F21" s="8"/>
      <c r="G21" s="8"/>
      <c r="H21" s="8"/>
      <c r="I21" s="26"/>
      <c r="K21">
        <v>5</v>
      </c>
      <c r="L21" s="77">
        <v>-5</v>
      </c>
    </row>
    <row r="22" spans="1:23" x14ac:dyDescent="0.2">
      <c r="A22" s="111" t="s">
        <v>516</v>
      </c>
      <c r="B22" s="588">
        <f>CHOOSE(MODE, Pout, Pout + Pout2)</f>
        <v>9.6000000000000014</v>
      </c>
      <c r="C22" s="61" t="s">
        <v>45</v>
      </c>
      <c r="D22" s="112" t="s">
        <v>517</v>
      </c>
      <c r="F22" s="8"/>
      <c r="G22" s="8"/>
      <c r="H22" s="8"/>
      <c r="I22" s="26"/>
      <c r="K22">
        <v>0.2</v>
      </c>
      <c r="L22" s="77">
        <v>0.2</v>
      </c>
    </row>
    <row r="23" spans="1:23" x14ac:dyDescent="0.2">
      <c r="A23" s="111"/>
      <c r="B23" s="376"/>
      <c r="C23" s="61"/>
      <c r="D23" s="112"/>
      <c r="F23" s="8"/>
      <c r="G23" s="8"/>
      <c r="H23" s="8"/>
      <c r="I23" s="26"/>
      <c r="L23" s="77"/>
    </row>
    <row r="24" spans="1:23" x14ac:dyDescent="0.2">
      <c r="A24" s="35" t="str">
        <f>CHOOSE(MODE, "Turns Ratio, PRI : SEC", "Turns Ratio, PRI : SEC1")</f>
        <v>Turns Ratio, PRI : SEC</v>
      </c>
      <c r="B24" s="571" t="str">
        <f>Nps</f>
        <v>1</v>
      </c>
      <c r="C24" s="61"/>
      <c r="D24" s="112" t="str">
        <f>CHOOSE(MODE, "TR primary-secondary (single output) = Np/Ns", "TR primary-secondary1 (dual output) = Np/Nsec1")</f>
        <v>TR primary-secondary (single output) = Np/Ns</v>
      </c>
      <c r="F24" s="8"/>
      <c r="G24" s="8"/>
      <c r="H24" s="8"/>
      <c r="I24" s="26"/>
      <c r="L24" s="77"/>
    </row>
    <row r="25" spans="1:23" x14ac:dyDescent="0.2">
      <c r="A25" s="35" t="s">
        <v>593</v>
      </c>
      <c r="B25" s="178">
        <f>Npri_sec2</f>
        <v>1</v>
      </c>
      <c r="D25" s="112" t="s">
        <v>594</v>
      </c>
      <c r="F25" s="8"/>
      <c r="G25" s="8"/>
      <c r="H25" s="8"/>
      <c r="I25" s="26"/>
      <c r="L25" s="77"/>
    </row>
    <row r="26" spans="1:23" x14ac:dyDescent="0.2">
      <c r="A26" s="35" t="s">
        <v>606</v>
      </c>
      <c r="B26" s="630">
        <f>Nsec1sec2</f>
        <v>1</v>
      </c>
      <c r="D26" s="77" t="s">
        <v>595</v>
      </c>
      <c r="F26" s="8"/>
      <c r="G26" s="8"/>
      <c r="H26" s="8"/>
      <c r="I26" s="26"/>
      <c r="L26" s="77"/>
      <c r="R26" s="162" t="s">
        <v>400</v>
      </c>
      <c r="V26" s="162" t="s">
        <v>400</v>
      </c>
    </row>
    <row r="27" spans="1:23" x14ac:dyDescent="0.2">
      <c r="H27" s="8"/>
      <c r="I27" s="26"/>
      <c r="K27" s="162" t="s">
        <v>544</v>
      </c>
      <c r="R27" s="162" t="s">
        <v>588</v>
      </c>
      <c r="V27" s="162" t="s">
        <v>589</v>
      </c>
    </row>
    <row r="28" spans="1:23" x14ac:dyDescent="0.2">
      <c r="A28" s="77" t="s">
        <v>626</v>
      </c>
      <c r="B28" s="6">
        <f>Vout+VIN_max/Nps</f>
        <v>54</v>
      </c>
      <c r="C28" s="77" t="s">
        <v>0</v>
      </c>
      <c r="G28" s="8"/>
      <c r="H28" s="8"/>
      <c r="I28" s="26"/>
      <c r="K28" s="77" t="s">
        <v>541</v>
      </c>
      <c r="L28">
        <v>1</v>
      </c>
      <c r="R28" t="str">
        <f>"5 : 1"</f>
        <v>5 : 1</v>
      </c>
      <c r="S28">
        <v>1</v>
      </c>
      <c r="V28" t="str">
        <f>CHOOSE(MODE, "Functional", "5 : 1")</f>
        <v>Functional</v>
      </c>
      <c r="W28">
        <v>1</v>
      </c>
    </row>
    <row r="29" spans="1:23" x14ac:dyDescent="0.2">
      <c r="F29" s="8"/>
      <c r="G29" s="8"/>
      <c r="H29" s="8"/>
      <c r="I29" s="26"/>
      <c r="K29" s="77" t="s">
        <v>542</v>
      </c>
      <c r="L29">
        <v>2</v>
      </c>
      <c r="R29" t="str">
        <f>"4 : 1"</f>
        <v>4 : 1</v>
      </c>
      <c r="S29">
        <v>2</v>
      </c>
      <c r="V29" t="str">
        <f>CHOOSE(MODE, "Basic", "4 : 1")</f>
        <v>Basic</v>
      </c>
      <c r="W29">
        <v>2</v>
      </c>
    </row>
    <row r="30" spans="1:23" x14ac:dyDescent="0.2">
      <c r="A30" s="111" t="s">
        <v>447</v>
      </c>
      <c r="B30" s="375">
        <f>1%*Vout*1000</f>
        <v>120</v>
      </c>
      <c r="C30" s="61" t="s">
        <v>149</v>
      </c>
      <c r="D30" s="112" t="s">
        <v>465</v>
      </c>
      <c r="F30" s="8"/>
      <c r="G30" s="8"/>
      <c r="H30" s="8"/>
      <c r="I30" s="26"/>
      <c r="K30" s="77" t="s">
        <v>543</v>
      </c>
      <c r="L30">
        <v>3</v>
      </c>
      <c r="R30" t="str">
        <f>"3 : 1"</f>
        <v>3 : 1</v>
      </c>
      <c r="S30">
        <v>3</v>
      </c>
      <c r="V30" t="str">
        <f>CHOOSE(MODE, "Reinforced", "3 : 1")</f>
        <v>Reinforced</v>
      </c>
      <c r="W30">
        <v>3</v>
      </c>
    </row>
    <row r="31" spans="1:23" x14ac:dyDescent="0.2">
      <c r="A31" s="111" t="s">
        <v>563</v>
      </c>
      <c r="B31" s="375">
        <f>1%*Vout2*1000</f>
        <v>120</v>
      </c>
      <c r="C31" s="61" t="s">
        <v>149</v>
      </c>
      <c r="D31" s="112" t="s">
        <v>562</v>
      </c>
      <c r="F31" s="8"/>
      <c r="G31" s="8"/>
      <c r="H31" s="8"/>
      <c r="I31" s="26"/>
      <c r="Q31" s="532"/>
      <c r="R31" t="str">
        <f>"2 : 1"</f>
        <v>2 : 1</v>
      </c>
      <c r="S31">
        <v>4</v>
      </c>
      <c r="V31" t="str">
        <f>CHOOSE(MODE, "", "2 : 1")</f>
        <v/>
      </c>
      <c r="W31">
        <v>4</v>
      </c>
    </row>
    <row r="32" spans="1:23" x14ac:dyDescent="0.2">
      <c r="F32" s="8"/>
      <c r="G32" s="8"/>
      <c r="H32" s="8"/>
      <c r="I32" s="26"/>
      <c r="R32" t="str">
        <f>"1.5 : 1"</f>
        <v>1.5 : 1</v>
      </c>
      <c r="S32">
        <v>5</v>
      </c>
      <c r="V32" t="str">
        <f>CHOOSE(MODE, "", "1 : 1")</f>
        <v/>
      </c>
      <c r="W32">
        <v>5</v>
      </c>
    </row>
    <row r="33" spans="1:23" x14ac:dyDescent="0.2">
      <c r="A33" s="111" t="s">
        <v>47</v>
      </c>
      <c r="B33" s="632">
        <v>0.95</v>
      </c>
      <c r="C33" s="61"/>
      <c r="D33" s="78" t="s">
        <v>176</v>
      </c>
      <c r="F33" s="8"/>
      <c r="G33" s="8"/>
      <c r="H33" s="8"/>
      <c r="I33" s="26"/>
      <c r="R33" t="str">
        <f>"1 : 1"</f>
        <v>1 : 1</v>
      </c>
      <c r="S33">
        <v>6</v>
      </c>
      <c r="V33" t="str">
        <f>CHOOSE(MODE, "", "1 : 2")</f>
        <v/>
      </c>
      <c r="W33">
        <v>6</v>
      </c>
    </row>
    <row r="34" spans="1:23" x14ac:dyDescent="0.2">
      <c r="A34" s="111" t="s">
        <v>157</v>
      </c>
      <c r="B34" s="425">
        <f>Pout/Efficiency</f>
        <v>10.105263157894738</v>
      </c>
      <c r="C34" s="61" t="s">
        <v>45</v>
      </c>
      <c r="D34" s="112" t="s">
        <v>466</v>
      </c>
      <c r="F34" s="8"/>
      <c r="G34" s="8"/>
      <c r="H34" s="8"/>
      <c r="I34" s="26"/>
      <c r="R34" t="str">
        <f>"1 : 1.5"</f>
        <v>1 : 1.5</v>
      </c>
      <c r="S34">
        <v>7</v>
      </c>
      <c r="V34" t="str">
        <f>CHOOSE(MODE, "", "1 : 3")</f>
        <v/>
      </c>
      <c r="W34">
        <v>7</v>
      </c>
    </row>
    <row r="35" spans="1:23" x14ac:dyDescent="0.2">
      <c r="A35" s="111" t="s">
        <v>154</v>
      </c>
      <c r="B35" s="167">
        <f>Pin/VIN_min</f>
        <v>1.1228070175438598</v>
      </c>
      <c r="C35" s="61" t="s">
        <v>1</v>
      </c>
      <c r="D35" s="78"/>
      <c r="F35" s="8"/>
      <c r="G35" s="8"/>
      <c r="H35" s="8"/>
      <c r="I35" s="26"/>
      <c r="R35" t="str">
        <f>"1 : 2"</f>
        <v>1 : 2</v>
      </c>
      <c r="S35">
        <v>8</v>
      </c>
      <c r="V35" t="str">
        <f>CHOOSE(MODE, "", "1 : 4")</f>
        <v/>
      </c>
      <c r="W35">
        <v>8</v>
      </c>
    </row>
    <row r="36" spans="1:23" x14ac:dyDescent="0.2">
      <c r="A36" s="111" t="s">
        <v>155</v>
      </c>
      <c r="B36" s="167">
        <f>Pin/VIN_nom</f>
        <v>0.7485380116959065</v>
      </c>
      <c r="C36" s="61" t="s">
        <v>1</v>
      </c>
      <c r="D36" s="112" t="s">
        <v>160</v>
      </c>
      <c r="F36" s="8"/>
      <c r="G36" s="8"/>
      <c r="H36" s="8"/>
      <c r="I36" s="26">
        <v>1</v>
      </c>
      <c r="K36" s="77"/>
      <c r="R36" t="str">
        <f>"1 : 3"</f>
        <v>1 : 3</v>
      </c>
      <c r="S36">
        <v>9</v>
      </c>
      <c r="V36" t="str">
        <f>CHOOSE(MODE, "", "1 : 5")</f>
        <v/>
      </c>
      <c r="W36">
        <v>9</v>
      </c>
    </row>
    <row r="37" spans="1:23" x14ac:dyDescent="0.2">
      <c r="A37" s="111" t="s">
        <v>156</v>
      </c>
      <c r="B37" s="167">
        <f>Pin/VIN_max</f>
        <v>0.24060150375939854</v>
      </c>
      <c r="C37" s="61" t="s">
        <v>1</v>
      </c>
      <c r="D37" s="78"/>
      <c r="F37" s="8"/>
      <c r="G37" s="8"/>
      <c r="H37" s="8"/>
      <c r="I37" s="26"/>
      <c r="R37" t="str">
        <f>"1 : 4"</f>
        <v>1 : 4</v>
      </c>
      <c r="S37">
        <v>10</v>
      </c>
    </row>
    <row r="38" spans="1:23" x14ac:dyDescent="0.2">
      <c r="A38" s="111" t="s">
        <v>623</v>
      </c>
      <c r="B38" s="533">
        <f>CHOOSE(MODE, 'Calculations - Single'!N110, 'Calculations - Dual'!O110+'Calculations - Dual'!P110)</f>
        <v>10.104088235294114</v>
      </c>
      <c r="C38" s="112" t="s">
        <v>45</v>
      </c>
      <c r="D38" s="402" t="b">
        <f>B38&lt;Pout_total</f>
        <v>0</v>
      </c>
      <c r="F38" s="8"/>
      <c r="G38" s="8"/>
      <c r="H38" s="8"/>
      <c r="I38" s="26"/>
      <c r="Q38" s="578" t="s">
        <v>399</v>
      </c>
      <c r="R38" s="468" t="str">
        <f>CHOOSE(Turns_Ratio, "5 : 1", "4 : 1", "3 : 1", "2 : 1", "1.5 : 1", "1 : 1", "1 : 1.5", "1 : 2", "1 : 3", "1 : 4")</f>
        <v>1 : 1</v>
      </c>
      <c r="S38" s="4">
        <v>6</v>
      </c>
      <c r="U38" s="578" t="s">
        <v>587</v>
      </c>
      <c r="V38" s="454" t="str">
        <f>CHOOSE(Turns_Ratio2, "5 : 1", "4 : 1", "3 : 1", "2 : 1", "1 : 1", "1 : 2", "1 : 3", "1 : 4", "1 : 5")</f>
        <v>1 : 5</v>
      </c>
      <c r="W38" s="4">
        <v>9</v>
      </c>
    </row>
    <row r="39" spans="1:23" x14ac:dyDescent="0.2">
      <c r="A39" s="111" t="s">
        <v>623</v>
      </c>
      <c r="B39" s="533">
        <f>CHOOSE(MODE, 'Calculations - Single'!N111, 'Calculations - Dual'!O111+'Calculations - Dual'!P111)/Vout</f>
        <v>0.84200735294117612</v>
      </c>
      <c r="C39" s="112" t="s">
        <v>1</v>
      </c>
      <c r="F39" s="8"/>
      <c r="G39" s="8"/>
      <c r="H39" s="8"/>
      <c r="I39" s="26"/>
    </row>
    <row r="40" spans="1:23" x14ac:dyDescent="0.2">
      <c r="A40" s="111" t="s">
        <v>439</v>
      </c>
      <c r="B40" s="134">
        <v>350000</v>
      </c>
      <c r="C40" s="112" t="s">
        <v>8</v>
      </c>
      <c r="D40" s="78" t="s">
        <v>582</v>
      </c>
      <c r="F40" s="8"/>
      <c r="G40" s="8"/>
      <c r="H40" s="8"/>
      <c r="I40" s="26"/>
      <c r="Q40" s="77" t="s">
        <v>458</v>
      </c>
      <c r="R40" s="468" t="str">
        <f>CHOOSE(Turns_Ratio, "5", "4 ", "3", "2", "1.5", "1", "0.66", "0.5", "0.33", "0.25")</f>
        <v>1</v>
      </c>
    </row>
    <row r="41" spans="1:23" x14ac:dyDescent="0.2">
      <c r="A41" s="27" t="s">
        <v>18</v>
      </c>
      <c r="B41" s="28">
        <v>1.21</v>
      </c>
      <c r="C41" s="8" t="s">
        <v>0</v>
      </c>
      <c r="D41" s="78" t="s">
        <v>583</v>
      </c>
      <c r="F41" s="8"/>
      <c r="G41" s="8"/>
      <c r="H41" s="8"/>
      <c r="I41" s="26"/>
      <c r="Q41" s="77" t="s">
        <v>506</v>
      </c>
      <c r="R41" s="468" t="str">
        <f>CHOOSE(Turns_Ratio, "5", "4 ", "3", "2", "1.5", "1", "0.66", "0.5", "0.33", "0.25")</f>
        <v>1</v>
      </c>
      <c r="V41" s="77" t="s">
        <v>591</v>
      </c>
      <c r="W41" s="162" t="str">
        <f>CHOOSE(Turns_Ratio, "1", "1", "1", "1", "1", "1", "1.5", "2", "3", "4")</f>
        <v>1</v>
      </c>
    </row>
    <row r="42" spans="1:23" x14ac:dyDescent="0.2">
      <c r="A42" s="111" t="s">
        <v>397</v>
      </c>
      <c r="B42" s="168">
        <f>'Design PSR Flyback Converter'!E27*1000</f>
        <v>121000</v>
      </c>
      <c r="C42" s="114" t="s">
        <v>45</v>
      </c>
      <c r="D42" s="112" t="s">
        <v>584</v>
      </c>
      <c r="F42" s="8"/>
      <c r="G42" s="8"/>
      <c r="H42" s="8"/>
      <c r="I42" s="26"/>
      <c r="K42" s="77" t="s">
        <v>401</v>
      </c>
      <c r="Q42" s="77" t="s">
        <v>590</v>
      </c>
      <c r="R42" s="644">
        <f>ABS((Vout2+Vfwd1)/(Vout+Vfwd1))</f>
        <v>1</v>
      </c>
      <c r="V42" s="77" t="s">
        <v>590</v>
      </c>
      <c r="W42" s="629">
        <f>Nsec1sec2</f>
        <v>1</v>
      </c>
    </row>
    <row r="43" spans="1:23" ht="15.75" x14ac:dyDescent="0.3">
      <c r="A43" s="111" t="s">
        <v>398</v>
      </c>
      <c r="B43" s="533">
        <v>0.1</v>
      </c>
      <c r="C43" s="78" t="s">
        <v>45</v>
      </c>
      <c r="D43" s="112" t="s">
        <v>585</v>
      </c>
      <c r="F43" s="613" t="s">
        <v>586</v>
      </c>
      <c r="G43" s="8"/>
      <c r="H43" s="8"/>
      <c r="I43" s="26"/>
      <c r="Q43" s="484" t="s">
        <v>507</v>
      </c>
      <c r="R43" s="627">
        <f>Nps/Nsec1sec2</f>
        <v>1</v>
      </c>
      <c r="V43" s="4"/>
      <c r="W43" s="628">
        <f>W41*W42</f>
        <v>1</v>
      </c>
    </row>
    <row r="44" spans="1:23" ht="13.5" thickBot="1" x14ac:dyDescent="0.25">
      <c r="A44" s="29"/>
      <c r="B44" s="30"/>
      <c r="C44" s="81"/>
      <c r="D44" s="30"/>
      <c r="E44" s="30"/>
      <c r="F44" s="30"/>
      <c r="G44" s="30"/>
      <c r="H44" s="30"/>
      <c r="I44" s="31"/>
      <c r="K44" s="450" t="str">
        <f>"SCH_"&amp;B51&amp;"_"&amp;F56&amp;"_"&amp;I56&amp;"_"&amp;F50</f>
        <v>SCH_SINGLE_UVLOadj_SSadj_TCyes</v>
      </c>
      <c r="R44" s="372">
        <f>ROUND(Nsec1sec2,1)</f>
        <v>1</v>
      </c>
      <c r="V44" s="162" t="s">
        <v>592</v>
      </c>
      <c r="W44" s="619" t="str">
        <f>CHOOSE(MODE, R38, R38&amp;" : "&amp;ROUND(W43,2))</f>
        <v>1 : 1</v>
      </c>
    </row>
    <row r="45" spans="1:23" x14ac:dyDescent="0.2">
      <c r="A45" s="8"/>
      <c r="B45" s="8"/>
      <c r="C45" s="40"/>
      <c r="D45" s="8"/>
      <c r="E45" s="8"/>
      <c r="F45" s="8"/>
      <c r="G45" s="8"/>
      <c r="H45" s="8"/>
      <c r="I45" s="8"/>
    </row>
    <row r="46" spans="1:23" ht="16.5" thickBot="1" x14ac:dyDescent="0.3">
      <c r="A46" s="51" t="s">
        <v>573</v>
      </c>
      <c r="B46" s="8"/>
      <c r="C46" s="40"/>
      <c r="D46" s="8"/>
      <c r="E46" s="8"/>
      <c r="F46" s="8"/>
      <c r="G46" s="8"/>
      <c r="H46" s="8"/>
      <c r="I46" s="8"/>
    </row>
    <row r="47" spans="1:23" ht="15.75" x14ac:dyDescent="0.25">
      <c r="A47" s="385"/>
      <c r="B47" s="386"/>
      <c r="C47" s="387"/>
      <c r="D47" s="386"/>
      <c r="E47" s="386"/>
      <c r="F47" s="386"/>
      <c r="G47" s="386"/>
      <c r="H47" s="386"/>
      <c r="I47" s="442"/>
      <c r="J47" s="442"/>
      <c r="K47" s="442"/>
      <c r="L47" s="442"/>
      <c r="M47" s="442"/>
      <c r="N47" s="442"/>
      <c r="O47" s="25"/>
    </row>
    <row r="48" spans="1:23" x14ac:dyDescent="0.2">
      <c r="A48" s="382" t="s">
        <v>367</v>
      </c>
      <c r="B48" s="78" t="s">
        <v>368</v>
      </c>
      <c r="C48" s="443">
        <v>1</v>
      </c>
      <c r="D48" s="8"/>
      <c r="E48" s="382" t="s">
        <v>385</v>
      </c>
      <c r="F48" s="78" t="s">
        <v>370</v>
      </c>
      <c r="G48" s="165" t="b">
        <v>1</v>
      </c>
      <c r="I48" s="159" t="s">
        <v>303</v>
      </c>
      <c r="J48" s="165">
        <v>1</v>
      </c>
      <c r="K48" t="str">
        <f>B51&amp;", "&amp;F50&amp;", "&amp;I50&amp;", "&amp;F56&amp;", "&amp;I56</f>
        <v>SINGLE, TCyes, IlimRes, UVLOadj, SSadj</v>
      </c>
      <c r="O48" s="25"/>
      <c r="Q48" s="400" t="s">
        <v>337</v>
      </c>
      <c r="R48" s="4" t="s">
        <v>332</v>
      </c>
      <c r="S48" s="372">
        <v>1</v>
      </c>
    </row>
    <row r="49" spans="1:26" x14ac:dyDescent="0.2">
      <c r="A49" s="381"/>
      <c r="B49" s="78" t="s">
        <v>369</v>
      </c>
      <c r="C49" s="443">
        <v>2</v>
      </c>
      <c r="D49" s="8"/>
      <c r="E49" s="38"/>
      <c r="F49" s="78" t="s">
        <v>371</v>
      </c>
      <c r="G49" s="165" t="b">
        <v>0</v>
      </c>
      <c r="I49" s="159" t="s">
        <v>304</v>
      </c>
      <c r="J49" s="165">
        <v>2</v>
      </c>
      <c r="K49" t="str">
        <f>C51&amp;", "&amp;G50&amp;", "&amp;J50&amp;", "&amp;G56&amp;", "&amp;J56</f>
        <v>1, 1, 2, 1, 1</v>
      </c>
      <c r="O49" s="25"/>
      <c r="Q49" s="400" t="s">
        <v>339</v>
      </c>
      <c r="R49" s="4" t="s">
        <v>333</v>
      </c>
      <c r="S49" s="372">
        <v>2</v>
      </c>
    </row>
    <row r="50" spans="1:26" x14ac:dyDescent="0.2">
      <c r="B50" s="77" t="s">
        <v>519</v>
      </c>
      <c r="C50" s="593">
        <v>3</v>
      </c>
      <c r="D50" s="8"/>
      <c r="E50" s="449" t="s">
        <v>386</v>
      </c>
      <c r="F50" s="384" t="str">
        <f>CHOOSE(G50, "TCyes", "TCno")</f>
        <v>TCyes</v>
      </c>
      <c r="G50" s="379">
        <v>1</v>
      </c>
      <c r="H50" s="449" t="s">
        <v>302</v>
      </c>
      <c r="I50" s="445" t="str">
        <f>CHOOSE(J50, "IlimGND", "IlimRes")</f>
        <v>IlimRes</v>
      </c>
      <c r="J50" s="379">
        <f>IF(C56=4, 1, 2)</f>
        <v>2</v>
      </c>
      <c r="K50" t="str">
        <f>C51&amp;G50&amp;J50&amp;G56&amp;J56</f>
        <v>11211</v>
      </c>
      <c r="O50" s="25"/>
      <c r="Q50" s="400" t="s">
        <v>340</v>
      </c>
      <c r="R50" s="4" t="s">
        <v>334</v>
      </c>
      <c r="S50" s="372">
        <v>3</v>
      </c>
    </row>
    <row r="51" spans="1:26" x14ac:dyDescent="0.2">
      <c r="A51" s="446" t="s">
        <v>287</v>
      </c>
      <c r="B51" s="444" t="str">
        <f>CHOOSE(C51,"SINGLE", IF(Vout2_actual&gt;0, "DUAL", "BIPOLAR"))</f>
        <v>SINGLE</v>
      </c>
      <c r="C51" s="383">
        <v>1</v>
      </c>
      <c r="D51" s="8"/>
      <c r="E51" s="8"/>
      <c r="G51" s="79">
        <f>TC</f>
        <v>1</v>
      </c>
      <c r="I51" s="379"/>
      <c r="J51" s="8"/>
      <c r="O51" s="25"/>
      <c r="Q51" s="400" t="s">
        <v>338</v>
      </c>
      <c r="R51" s="4" t="s">
        <v>335</v>
      </c>
      <c r="S51" s="372">
        <v>4</v>
      </c>
    </row>
    <row r="52" spans="1:26" x14ac:dyDescent="0.2">
      <c r="A52" s="381"/>
      <c r="B52" s="4" t="b">
        <f>CHOOSE(C51, TRUE, FALSE)</f>
        <v>1</v>
      </c>
      <c r="C52" s="79" t="str">
        <f>CHOOSE(C51,"1", IF(Vout2&gt;0, "2", "3"))</f>
        <v>1</v>
      </c>
      <c r="O52" s="25"/>
      <c r="Q52" s="400" t="s">
        <v>342</v>
      </c>
      <c r="R52" s="4" t="s">
        <v>341</v>
      </c>
      <c r="S52" s="372">
        <v>5</v>
      </c>
    </row>
    <row r="53" spans="1:26" x14ac:dyDescent="0.2">
      <c r="O53" s="25"/>
      <c r="Q53" s="448" t="s">
        <v>336</v>
      </c>
      <c r="R53" s="454" t="str">
        <f>CHOOSE(S53,"6.3V","10V","16V","25V","50V")</f>
        <v>16V</v>
      </c>
      <c r="S53" s="468">
        <f>IF(Vout&lt;=5, 1, IF(Vout&lt;=8, 2, IF(Vout&lt;=12, 3, IF(Vout&lt;=20, 4, 5))))</f>
        <v>3</v>
      </c>
    </row>
    <row r="54" spans="1:26" x14ac:dyDescent="0.2">
      <c r="A54" s="388" t="s">
        <v>189</v>
      </c>
      <c r="B54" s="112" t="s">
        <v>370</v>
      </c>
      <c r="C54" s="443">
        <v>1</v>
      </c>
      <c r="D54" s="8"/>
      <c r="E54" s="162" t="s">
        <v>322</v>
      </c>
      <c r="F54" s="484" t="s">
        <v>550</v>
      </c>
      <c r="G54" s="165">
        <v>1</v>
      </c>
      <c r="H54" s="382" t="s">
        <v>298</v>
      </c>
      <c r="I54" s="78" t="s">
        <v>550</v>
      </c>
      <c r="J54" s="165">
        <v>1</v>
      </c>
      <c r="L54" s="159" t="s">
        <v>320</v>
      </c>
      <c r="M54" s="165">
        <v>1</v>
      </c>
      <c r="O54" s="25"/>
    </row>
    <row r="55" spans="1:26" x14ac:dyDescent="0.2">
      <c r="A55" s="389"/>
      <c r="B55" s="112" t="s">
        <v>371</v>
      </c>
      <c r="C55" s="443">
        <v>2</v>
      </c>
      <c r="D55" s="8"/>
      <c r="F55" s="484" t="s">
        <v>551</v>
      </c>
      <c r="G55" s="165">
        <v>2</v>
      </c>
      <c r="H55" s="38"/>
      <c r="I55" s="78" t="s">
        <v>670</v>
      </c>
      <c r="J55" s="165">
        <v>2</v>
      </c>
      <c r="L55" s="159" t="s">
        <v>321</v>
      </c>
      <c r="M55" s="165">
        <v>2</v>
      </c>
      <c r="O55" s="25"/>
      <c r="R55" s="4" t="s">
        <v>651</v>
      </c>
      <c r="S55" s="4"/>
      <c r="T55" s="4" t="s">
        <v>116</v>
      </c>
      <c r="U55" s="4" t="s">
        <v>652</v>
      </c>
    </row>
    <row r="56" spans="1:26" x14ac:dyDescent="0.2">
      <c r="A56" s="447" t="s">
        <v>288</v>
      </c>
      <c r="B56" s="444" t="str">
        <f>CHOOSE(C56, "YES", "NO")</f>
        <v>YES</v>
      </c>
      <c r="C56" s="383">
        <v>1</v>
      </c>
      <c r="D56" s="8"/>
      <c r="E56" s="448" t="s">
        <v>308</v>
      </c>
      <c r="F56" s="445" t="str">
        <f>CHOOSE(G56, "UVLOadj", "UVLOint")</f>
        <v>UVLOadj</v>
      </c>
      <c r="G56" s="379">
        <v>1</v>
      </c>
      <c r="H56" s="449" t="s">
        <v>289</v>
      </c>
      <c r="I56" s="384" t="str">
        <f>CHOOSE(J56, "SSadj", "SSint")</f>
        <v>SSadj</v>
      </c>
      <c r="J56" s="379">
        <v>1</v>
      </c>
      <c r="L56" s="380" t="s">
        <v>300</v>
      </c>
      <c r="M56" s="379">
        <v>1</v>
      </c>
      <c r="O56" s="25"/>
      <c r="R56" s="467" t="s">
        <v>345</v>
      </c>
      <c r="S56" s="372">
        <v>1</v>
      </c>
      <c r="T56" s="77" t="s">
        <v>351</v>
      </c>
      <c r="U56" s="470">
        <v>0.5</v>
      </c>
    </row>
    <row r="57" spans="1:26" ht="13.5" thickBot="1" x14ac:dyDescent="0.25">
      <c r="A57" s="29"/>
      <c r="B57" s="30"/>
      <c r="C57" s="164"/>
      <c r="D57" s="30"/>
      <c r="E57" s="30"/>
      <c r="F57" s="30"/>
      <c r="G57" s="30"/>
      <c r="H57" s="30"/>
      <c r="I57" s="30"/>
      <c r="J57" s="30"/>
      <c r="K57" s="30"/>
      <c r="L57" s="30"/>
      <c r="M57" s="30"/>
      <c r="N57" s="30"/>
      <c r="O57" s="25"/>
      <c r="R57" s="467" t="s">
        <v>119</v>
      </c>
      <c r="S57" s="372">
        <v>2</v>
      </c>
      <c r="T57" s="77" t="s">
        <v>355</v>
      </c>
      <c r="U57" s="470">
        <v>1.3</v>
      </c>
    </row>
    <row r="58" spans="1:26" x14ac:dyDescent="0.2">
      <c r="A58" s="8"/>
      <c r="B58" s="8" t="b">
        <f>(CONFIG="2")</f>
        <v>0</v>
      </c>
      <c r="C58" s="40" t="str">
        <f>CONFIG</f>
        <v>1</v>
      </c>
      <c r="D58" s="8"/>
      <c r="E58" s="8"/>
      <c r="F58" s="8"/>
      <c r="G58" s="8"/>
      <c r="H58" s="8"/>
      <c r="I58" s="8"/>
      <c r="R58" s="467" t="s">
        <v>346</v>
      </c>
      <c r="S58" s="372">
        <v>3</v>
      </c>
      <c r="T58" s="77" t="s">
        <v>356</v>
      </c>
      <c r="U58" s="470">
        <v>2.5</v>
      </c>
    </row>
    <row r="59" spans="1:26" ht="16.5" thickBot="1" x14ac:dyDescent="0.3">
      <c r="A59" s="51" t="s">
        <v>574</v>
      </c>
      <c r="B59" s="40"/>
      <c r="C59" s="40"/>
      <c r="E59" s="8"/>
      <c r="F59" s="8"/>
      <c r="G59" s="8"/>
      <c r="H59" s="8"/>
      <c r="I59" s="8"/>
      <c r="R59" s="467" t="s">
        <v>347</v>
      </c>
      <c r="S59" s="372">
        <v>4</v>
      </c>
      <c r="T59" s="77" t="s">
        <v>354</v>
      </c>
      <c r="U59" s="470">
        <v>5.0999999999999996</v>
      </c>
    </row>
    <row r="60" spans="1:26" x14ac:dyDescent="0.2">
      <c r="A60" s="110"/>
      <c r="B60" s="610"/>
      <c r="C60" s="611"/>
      <c r="D60" s="157"/>
      <c r="E60" s="80"/>
      <c r="F60" s="32"/>
      <c r="G60" s="32"/>
      <c r="H60" s="32"/>
      <c r="I60" s="33">
        <v>1</v>
      </c>
      <c r="R60" s="467" t="s">
        <v>348</v>
      </c>
      <c r="S60" s="372">
        <v>5</v>
      </c>
      <c r="T60" s="77" t="s">
        <v>357</v>
      </c>
      <c r="U60" s="470">
        <v>8</v>
      </c>
    </row>
    <row r="61" spans="1:26" x14ac:dyDescent="0.2">
      <c r="A61" s="111" t="s">
        <v>150</v>
      </c>
      <c r="B61" s="166">
        <f>Nps*(Vout+Vfwd2)/(VIN_min+Nps*(Vout+Vfwd2))</f>
        <v>0.57943925233644866</v>
      </c>
      <c r="C61" s="8"/>
      <c r="D61" t="b">
        <f>B61&gt;0.75</f>
        <v>0</v>
      </c>
      <c r="E61" s="78"/>
      <c r="F61" s="8"/>
      <c r="G61" s="8"/>
      <c r="H61" s="8"/>
      <c r="I61" s="26">
        <v>1</v>
      </c>
      <c r="Q61" s="448" t="s">
        <v>349</v>
      </c>
      <c r="R61" s="454" t="str">
        <f>CHOOSE(S61,"0402","0603","0805","1206","1210")</f>
        <v>1210</v>
      </c>
      <c r="S61" s="468">
        <v>5</v>
      </c>
      <c r="T61" s="454" t="str">
        <f>CHOOSE(S61,T56,T57, T58,T59,T60)</f>
        <v>3.2 x 2.5</v>
      </c>
    </row>
    <row r="62" spans="1:26" x14ac:dyDescent="0.2">
      <c r="A62" s="111" t="s">
        <v>158</v>
      </c>
      <c r="B62" s="166">
        <f>Nps*(Vout+Vfwd1)/(VIN_nom+Nps*(Vout+Vfwd1))</f>
        <v>0.47572815533980584</v>
      </c>
      <c r="C62" s="8"/>
      <c r="F62" s="8"/>
      <c r="G62" s="8"/>
      <c r="H62" s="8"/>
      <c r="I62" s="26"/>
    </row>
    <row r="63" spans="1:26" x14ac:dyDescent="0.2">
      <c r="A63" s="111" t="s">
        <v>151</v>
      </c>
      <c r="B63" s="166">
        <f>Nps*(Vout+Vfwd1)/(VIN_max+Nps*(Vout+Vfwd1))</f>
        <v>0.22580645161290322</v>
      </c>
      <c r="C63" s="8"/>
      <c r="E63" s="78"/>
      <c r="F63" s="8"/>
      <c r="G63" s="8"/>
      <c r="H63" s="8"/>
      <c r="I63" s="26"/>
    </row>
    <row r="64" spans="1:26" x14ac:dyDescent="0.2">
      <c r="A64" s="77"/>
      <c r="B64" s="8"/>
      <c r="C64" s="8"/>
      <c r="D64" s="8"/>
      <c r="E64" s="78"/>
      <c r="F64" s="8"/>
      <c r="G64" s="8"/>
      <c r="H64" s="8"/>
      <c r="I64" s="26"/>
      <c r="R64" s="4" t="s">
        <v>651</v>
      </c>
      <c r="S64" s="4"/>
      <c r="T64" s="4" t="s">
        <v>116</v>
      </c>
      <c r="U64" s="4" t="s">
        <v>652</v>
      </c>
      <c r="W64" s="4" t="s">
        <v>651</v>
      </c>
      <c r="X64" s="4"/>
      <c r="Y64" s="4" t="s">
        <v>116</v>
      </c>
      <c r="Z64" s="4" t="s">
        <v>652</v>
      </c>
    </row>
    <row r="65" spans="1:26" x14ac:dyDescent="0.2">
      <c r="A65" s="111" t="s">
        <v>152</v>
      </c>
      <c r="B65" s="42">
        <f>'Design PSR Flyback Converter'!L7/1000000</f>
        <v>6.9999999999999999E-6</v>
      </c>
      <c r="C65" s="8" t="s">
        <v>11</v>
      </c>
      <c r="D65" s="78" t="s">
        <v>463</v>
      </c>
      <c r="F65" s="8"/>
      <c r="G65" s="8"/>
      <c r="H65" s="8"/>
      <c r="I65" s="26"/>
      <c r="R65" s="77" t="s">
        <v>352</v>
      </c>
      <c r="S65" s="372">
        <v>1</v>
      </c>
      <c r="T65" s="484" t="s">
        <v>637</v>
      </c>
      <c r="U65" s="470">
        <v>36</v>
      </c>
      <c r="W65" s="77" t="s">
        <v>657</v>
      </c>
      <c r="X65" s="372">
        <v>1</v>
      </c>
      <c r="Y65" s="77" t="s">
        <v>355</v>
      </c>
      <c r="Z65">
        <v>1.3</v>
      </c>
    </row>
    <row r="66" spans="1:26" x14ac:dyDescent="0.2">
      <c r="A66" s="111" t="s">
        <v>683</v>
      </c>
      <c r="B66" s="134">
        <f>'Design PSR Flyback Converter'!L11</f>
        <v>75</v>
      </c>
      <c r="C66" s="8" t="s">
        <v>684</v>
      </c>
      <c r="D66" s="78"/>
      <c r="F66" s="8"/>
      <c r="G66" s="8"/>
      <c r="H66" s="8"/>
      <c r="I66" s="26"/>
      <c r="R66" s="77" t="s">
        <v>353</v>
      </c>
      <c r="S66" s="372">
        <v>2</v>
      </c>
      <c r="T66" s="484" t="s">
        <v>636</v>
      </c>
      <c r="U66" s="470">
        <v>49</v>
      </c>
      <c r="W66" s="77" t="s">
        <v>648</v>
      </c>
      <c r="X66" s="372">
        <v>2</v>
      </c>
      <c r="Y66" s="77" t="s">
        <v>656</v>
      </c>
      <c r="Z66">
        <v>3.2</v>
      </c>
    </row>
    <row r="67" spans="1:26" x14ac:dyDescent="0.2">
      <c r="A67" s="111" t="s">
        <v>396</v>
      </c>
      <c r="B67" s="11">
        <f>'Design PSR Flyback Converter'!L8/1000</f>
        <v>0.04</v>
      </c>
      <c r="C67" s="114" t="s">
        <v>45</v>
      </c>
      <c r="D67" s="78" t="s">
        <v>461</v>
      </c>
      <c r="F67" s="8"/>
      <c r="G67" s="8"/>
      <c r="H67" s="8"/>
      <c r="I67" s="26"/>
      <c r="R67" s="77" t="s">
        <v>627</v>
      </c>
      <c r="S67" s="372">
        <v>3</v>
      </c>
      <c r="T67" s="484" t="s">
        <v>635</v>
      </c>
      <c r="U67" s="470">
        <v>64</v>
      </c>
      <c r="W67" s="77" t="s">
        <v>649</v>
      </c>
      <c r="X67" s="372">
        <v>3</v>
      </c>
      <c r="Y67" s="77" t="s">
        <v>655</v>
      </c>
      <c r="Z67">
        <v>6.5</v>
      </c>
    </row>
    <row r="68" spans="1:26" x14ac:dyDescent="0.2">
      <c r="A68" s="111" t="s">
        <v>459</v>
      </c>
      <c r="B68" s="11">
        <f>'Design PSR Flyback Converter'!L9/1000</f>
        <v>0.04</v>
      </c>
      <c r="C68" s="114" t="s">
        <v>45</v>
      </c>
      <c r="D68" s="78" t="s">
        <v>462</v>
      </c>
      <c r="F68" s="8"/>
      <c r="G68" s="8"/>
      <c r="H68" s="8"/>
      <c r="I68" s="26">
        <v>2</v>
      </c>
      <c r="R68" s="77" t="s">
        <v>628</v>
      </c>
      <c r="S68" s="372">
        <v>4</v>
      </c>
      <c r="T68" s="484" t="s">
        <v>634</v>
      </c>
      <c r="U68" s="470">
        <v>81</v>
      </c>
      <c r="W68" s="77" t="s">
        <v>650</v>
      </c>
      <c r="X68" s="372">
        <v>4</v>
      </c>
      <c r="Y68" s="77" t="s">
        <v>700</v>
      </c>
      <c r="Z68">
        <v>13.5</v>
      </c>
    </row>
    <row r="69" spans="1:26" x14ac:dyDescent="0.2">
      <c r="A69" s="111" t="s">
        <v>460</v>
      </c>
      <c r="B69" s="11">
        <f>'Design PSR Flyback Converter'!L10/1000</f>
        <v>0.03</v>
      </c>
      <c r="C69" s="114" t="s">
        <v>45</v>
      </c>
      <c r="D69" s="78" t="s">
        <v>556</v>
      </c>
      <c r="E69" s="78"/>
      <c r="F69" s="8"/>
      <c r="G69" s="8"/>
      <c r="H69" s="8"/>
      <c r="I69" s="26">
        <v>1</v>
      </c>
      <c r="R69" s="77" t="s">
        <v>629</v>
      </c>
      <c r="S69" s="372">
        <v>5</v>
      </c>
      <c r="T69" s="484" t="s">
        <v>633</v>
      </c>
      <c r="U69" s="470">
        <v>100</v>
      </c>
      <c r="W69" s="77" t="s">
        <v>697</v>
      </c>
      <c r="X69" s="372">
        <v>5</v>
      </c>
      <c r="Y69" s="77" t="s">
        <v>701</v>
      </c>
      <c r="Z69">
        <v>19.100000000000001</v>
      </c>
    </row>
    <row r="70" spans="1:26" x14ac:dyDescent="0.2">
      <c r="A70" s="111"/>
      <c r="B70" s="8"/>
      <c r="C70" s="8"/>
      <c r="D70" s="8"/>
      <c r="E70" s="8"/>
      <c r="F70" s="8"/>
      <c r="G70" s="8"/>
      <c r="H70" s="8"/>
      <c r="I70" s="26"/>
      <c r="R70" s="77" t="s">
        <v>630</v>
      </c>
      <c r="S70" s="372">
        <v>6</v>
      </c>
      <c r="T70" s="484" t="s">
        <v>632</v>
      </c>
      <c r="U70" s="470">
        <v>120</v>
      </c>
      <c r="W70" s="77" t="s">
        <v>698</v>
      </c>
      <c r="X70" s="372">
        <v>6</v>
      </c>
      <c r="Y70" s="77" t="s">
        <v>702</v>
      </c>
      <c r="Z70">
        <v>50.2</v>
      </c>
    </row>
    <row r="71" spans="1:26" x14ac:dyDescent="0.2">
      <c r="A71" s="78" t="s">
        <v>555</v>
      </c>
      <c r="B71" s="196">
        <v>100</v>
      </c>
      <c r="C71" s="112" t="s">
        <v>102</v>
      </c>
      <c r="D71" s="78"/>
      <c r="E71" s="8"/>
      <c r="F71" s="8"/>
      <c r="H71" s="8"/>
      <c r="I71" s="26"/>
      <c r="R71" s="77" t="s">
        <v>631</v>
      </c>
      <c r="S71" s="372">
        <v>7</v>
      </c>
      <c r="T71" s="484" t="s">
        <v>638</v>
      </c>
      <c r="U71" s="470">
        <v>143</v>
      </c>
      <c r="W71" s="77" t="s">
        <v>699</v>
      </c>
      <c r="X71" s="372">
        <v>7</v>
      </c>
      <c r="Y71" s="77" t="s">
        <v>703</v>
      </c>
      <c r="Z71" s="470">
        <v>28</v>
      </c>
    </row>
    <row r="72" spans="1:26" ht="15.75" x14ac:dyDescent="0.3">
      <c r="A72" s="111" t="s">
        <v>552</v>
      </c>
      <c r="B72" s="188">
        <f>Rdcr_pri*(1+0.0039*(B71-25))</f>
        <v>5.1700000000000003E-2</v>
      </c>
      <c r="C72" s="114" t="s">
        <v>45</v>
      </c>
      <c r="D72" s="8"/>
      <c r="H72" s="8"/>
      <c r="I72" s="26"/>
      <c r="K72" s="77" t="s">
        <v>324</v>
      </c>
      <c r="Q72" s="448" t="s">
        <v>464</v>
      </c>
      <c r="W72" s="448" t="s">
        <v>653</v>
      </c>
    </row>
    <row r="73" spans="1:26" x14ac:dyDescent="0.2">
      <c r="A73" s="111" t="s">
        <v>553</v>
      </c>
      <c r="B73" s="188">
        <f>Rdcr_sec*(1+0.0039*(B71-25))</f>
        <v>5.1700000000000003E-2</v>
      </c>
      <c r="C73" s="114" t="s">
        <v>45</v>
      </c>
      <c r="D73" s="8"/>
      <c r="H73" s="8"/>
      <c r="I73" s="26"/>
    </row>
    <row r="74" spans="1:26" x14ac:dyDescent="0.2">
      <c r="A74" s="111" t="s">
        <v>554</v>
      </c>
      <c r="B74" s="188">
        <f>Rdcr_sec2*(1+0.0039*(B71-25))</f>
        <v>3.8774999999999997E-2</v>
      </c>
      <c r="C74" s="114" t="s">
        <v>45</v>
      </c>
      <c r="D74" s="8"/>
      <c r="H74" s="8"/>
      <c r="I74" s="26"/>
    </row>
    <row r="75" spans="1:26" x14ac:dyDescent="0.2">
      <c r="I75" s="26"/>
    </row>
    <row r="76" spans="1:26" x14ac:dyDescent="0.2">
      <c r="A76" t="s">
        <v>682</v>
      </c>
      <c r="B76" s="646">
        <f>CHOOSE(VARIANT, (Vout+Vfwd1)*Nps*toff_min1/Isw_min*1000000, (Vout+Vfwd1)*Nps*toff_min2/Isw_min*1000000)</f>
        <v>6.349085365853659</v>
      </c>
      <c r="C76" s="4" t="s">
        <v>705</v>
      </c>
      <c r="D76" s="699" t="b">
        <f>Lf*1000000 &lt; Lmin</f>
        <v>0</v>
      </c>
      <c r="F76">
        <f>Lf*1000000</f>
        <v>7</v>
      </c>
      <c r="I76" s="26"/>
    </row>
    <row r="77" spans="1:26" ht="13.5" thickBot="1" x14ac:dyDescent="0.25">
      <c r="A77" s="170"/>
      <c r="B77" s="171"/>
      <c r="C77" s="30"/>
      <c r="D77" s="30"/>
      <c r="E77" s="30"/>
      <c r="F77" s="30"/>
      <c r="G77" s="30"/>
      <c r="H77" s="30"/>
      <c r="I77" s="31"/>
    </row>
    <row r="79" spans="1:26" ht="15.75" customHeight="1" x14ac:dyDescent="0.2"/>
    <row r="80" spans="1:26" ht="16.5" thickBot="1" x14ac:dyDescent="0.3">
      <c r="A80" s="51" t="s">
        <v>575</v>
      </c>
      <c r="B80" s="8"/>
      <c r="D80" s="40"/>
      <c r="E80" s="8"/>
      <c r="F80" s="8"/>
      <c r="G80" s="8"/>
      <c r="H80" s="8"/>
      <c r="I80" s="8"/>
    </row>
    <row r="81" spans="1:12" x14ac:dyDescent="0.2">
      <c r="A81" s="110" t="s">
        <v>165</v>
      </c>
      <c r="B81" s="424"/>
      <c r="C81" s="169" t="s">
        <v>1</v>
      </c>
      <c r="D81" s="80" t="s">
        <v>164</v>
      </c>
      <c r="E81" s="32"/>
      <c r="F81" s="32"/>
      <c r="G81" s="32"/>
      <c r="H81" s="32"/>
      <c r="I81" s="33"/>
      <c r="L81" s="6"/>
    </row>
    <row r="82" spans="1:12" x14ac:dyDescent="0.2">
      <c r="A82" s="111" t="s">
        <v>166</v>
      </c>
      <c r="B82" s="425"/>
      <c r="C82" s="112" t="s">
        <v>1</v>
      </c>
      <c r="D82" s="8"/>
      <c r="E82" s="78"/>
      <c r="F82" s="8"/>
      <c r="G82" s="8"/>
      <c r="H82" s="8"/>
      <c r="I82" s="26"/>
      <c r="L82" s="6"/>
    </row>
    <row r="83" spans="1:12" x14ac:dyDescent="0.2">
      <c r="A83" s="111" t="s">
        <v>167</v>
      </c>
      <c r="B83" s="425"/>
      <c r="C83" s="112" t="s">
        <v>1</v>
      </c>
      <c r="D83" s="8"/>
      <c r="E83" s="78"/>
      <c r="F83" s="8"/>
      <c r="G83" s="8"/>
      <c r="H83" s="8"/>
      <c r="I83" s="26"/>
      <c r="L83" s="6"/>
    </row>
    <row r="84" spans="1:12" x14ac:dyDescent="0.2">
      <c r="A84" s="111"/>
      <c r="B84" s="172"/>
      <c r="C84" s="112"/>
      <c r="D84" s="8"/>
      <c r="E84" s="78"/>
      <c r="F84" s="8"/>
      <c r="G84" s="8"/>
      <c r="H84" s="8"/>
      <c r="I84" s="26"/>
      <c r="L84" s="6"/>
    </row>
    <row r="85" spans="1:12" x14ac:dyDescent="0.2">
      <c r="A85" s="111" t="s">
        <v>175</v>
      </c>
      <c r="B85" s="564">
        <f>Vout_ripple</f>
        <v>120</v>
      </c>
      <c r="C85" s="112" t="s">
        <v>149</v>
      </c>
      <c r="D85" s="78" t="s">
        <v>611</v>
      </c>
      <c r="F85" s="8"/>
      <c r="G85" s="8"/>
      <c r="H85" s="8"/>
      <c r="I85" s="26"/>
      <c r="L85" s="6"/>
    </row>
    <row r="86" spans="1:12" x14ac:dyDescent="0.2">
      <c r="A86" s="508" t="s">
        <v>12</v>
      </c>
      <c r="B86" s="704">
        <f>MAX(10, CHOOSE(MODE, 'Calculations - Single'!BA110, 'Calculations - Dual'!AW110))</f>
        <v>25.385458958093036</v>
      </c>
      <c r="C86" s="206" t="s">
        <v>97</v>
      </c>
      <c r="D86" s="78"/>
      <c r="E86" s="78"/>
      <c r="F86" s="8"/>
      <c r="G86" s="8"/>
      <c r="H86" s="8"/>
      <c r="I86" s="26"/>
    </row>
    <row r="87" spans="1:12" x14ac:dyDescent="0.2">
      <c r="A87" s="111" t="s">
        <v>14</v>
      </c>
      <c r="B87" s="607">
        <f>'Design PSR Flyback Converter'!E21</f>
        <v>47</v>
      </c>
      <c r="C87" s="206" t="s">
        <v>97</v>
      </c>
      <c r="D87" s="78" t="s">
        <v>168</v>
      </c>
      <c r="F87" s="8"/>
      <c r="G87" s="8"/>
      <c r="H87" s="8"/>
      <c r="I87" s="26"/>
    </row>
    <row r="88" spans="1:12" x14ac:dyDescent="0.2">
      <c r="A88" s="205" t="s">
        <v>182</v>
      </c>
      <c r="B88" s="565">
        <f>(Vripple1_spec-Iout*B90/Cout*1000)/Iout</f>
        <v>115.28226265690493</v>
      </c>
      <c r="C88" s="114" t="s">
        <v>259</v>
      </c>
      <c r="D88" s="78" t="s">
        <v>107</v>
      </c>
      <c r="F88" s="8"/>
      <c r="G88" s="8"/>
      <c r="H88" s="8"/>
      <c r="I88" s="26"/>
    </row>
    <row r="89" spans="1:12" x14ac:dyDescent="0.2">
      <c r="A89" s="111" t="s">
        <v>54</v>
      </c>
      <c r="B89" s="198">
        <f>'Design PSR Flyback Converter'!E22</f>
        <v>3</v>
      </c>
      <c r="C89" s="114" t="s">
        <v>259</v>
      </c>
      <c r="D89" s="78" t="s">
        <v>108</v>
      </c>
      <c r="F89" s="8"/>
      <c r="G89" s="8"/>
      <c r="H89" s="8"/>
      <c r="I89" s="26"/>
    </row>
    <row r="90" spans="1:12" x14ac:dyDescent="0.2">
      <c r="A90" s="111" t="s">
        <v>449</v>
      </c>
      <c r="B90" s="197">
        <f>CHOOSE(MODE, 'Calculations - Single'!AT105, 'Calculations - Dual'!AR105)</f>
        <v>1.6317336551254682</v>
      </c>
      <c r="C90" s="206" t="s">
        <v>248</v>
      </c>
      <c r="D90" s="78"/>
      <c r="F90" s="8"/>
      <c r="G90" s="8"/>
      <c r="H90" s="8"/>
      <c r="I90" s="26"/>
    </row>
    <row r="91" spans="1:12" x14ac:dyDescent="0.2">
      <c r="A91" s="35" t="s">
        <v>448</v>
      </c>
      <c r="B91" s="707">
        <f>CHOOSE(MODE, 'Calculations - Single'!BB105, 'Calculations - Dual'!AZ105)</f>
        <v>33.867958633705953</v>
      </c>
      <c r="C91" s="78" t="s">
        <v>454</v>
      </c>
      <c r="D91" s="78" t="s">
        <v>613</v>
      </c>
      <c r="F91" s="8"/>
      <c r="G91" s="8"/>
      <c r="H91" s="454" t="s">
        <v>578</v>
      </c>
      <c r="I91" s="26"/>
    </row>
    <row r="92" spans="1:12" x14ac:dyDescent="0.2">
      <c r="A92" s="35"/>
      <c r="B92" s="197"/>
      <c r="C92" s="78"/>
      <c r="D92" s="78"/>
      <c r="F92" s="8"/>
      <c r="G92" s="8"/>
      <c r="H92" s="8"/>
      <c r="I92" s="26"/>
    </row>
    <row r="93" spans="1:12" x14ac:dyDescent="0.2">
      <c r="A93" s="35"/>
      <c r="B93" s="197"/>
      <c r="C93" s="78"/>
      <c r="D93" s="78"/>
      <c r="F93" s="8"/>
      <c r="G93" s="8"/>
      <c r="H93" s="8"/>
      <c r="I93" s="26"/>
    </row>
    <row r="94" spans="1:12" x14ac:dyDescent="0.2">
      <c r="A94" s="612" t="s">
        <v>576</v>
      </c>
      <c r="B94" s="197"/>
      <c r="C94" s="206"/>
      <c r="D94" s="78"/>
      <c r="F94" s="8"/>
      <c r="G94" s="8"/>
      <c r="H94" s="8"/>
      <c r="I94" s="26"/>
    </row>
    <row r="95" spans="1:12" x14ac:dyDescent="0.2">
      <c r="A95" s="111" t="s">
        <v>557</v>
      </c>
      <c r="B95" s="564">
        <f>Vout_ripple2</f>
        <v>120</v>
      </c>
      <c r="C95" s="112" t="s">
        <v>149</v>
      </c>
      <c r="D95" s="78" t="s">
        <v>614</v>
      </c>
      <c r="F95" s="8"/>
      <c r="G95" s="8"/>
      <c r="H95" s="8"/>
      <c r="I95" s="26"/>
    </row>
    <row r="96" spans="1:12" x14ac:dyDescent="0.2">
      <c r="A96" s="508" t="s">
        <v>559</v>
      </c>
      <c r="B96" s="704">
        <f>MAX(10, 'Calculations - Dual'!AY110)</f>
        <v>10</v>
      </c>
      <c r="C96" s="206" t="s">
        <v>97</v>
      </c>
      <c r="D96" s="78" t="s">
        <v>610</v>
      </c>
      <c r="F96" s="8"/>
      <c r="G96" s="8"/>
      <c r="H96" s="8"/>
      <c r="I96" s="26"/>
    </row>
    <row r="97" spans="1:9" x14ac:dyDescent="0.2">
      <c r="A97" s="111" t="s">
        <v>558</v>
      </c>
      <c r="B97" s="607">
        <f>'Design PSR Flyback Converter'!L21</f>
        <v>47</v>
      </c>
      <c r="C97" s="206" t="s">
        <v>97</v>
      </c>
      <c r="D97" s="78" t="s">
        <v>168</v>
      </c>
      <c r="F97" s="8"/>
      <c r="G97" s="8"/>
      <c r="H97" s="8"/>
      <c r="I97" s="26"/>
    </row>
    <row r="98" spans="1:9" x14ac:dyDescent="0.2">
      <c r="A98" s="205" t="s">
        <v>560</v>
      </c>
      <c r="B98" s="565">
        <f>(Vout_ripple2-Iout2*B100/Cout2*1000)/Iout2</f>
        <v>132.90659150974705</v>
      </c>
      <c r="C98" s="114" t="s">
        <v>259</v>
      </c>
      <c r="D98" s="78" t="s">
        <v>107</v>
      </c>
      <c r="F98" s="8"/>
      <c r="G98" s="8"/>
      <c r="H98" s="454" t="s">
        <v>577</v>
      </c>
      <c r="I98" s="26"/>
    </row>
    <row r="99" spans="1:9" x14ac:dyDescent="0.2">
      <c r="A99" s="111" t="s">
        <v>561</v>
      </c>
      <c r="B99" s="198">
        <f>'Design PSR Flyback Converter'!L22</f>
        <v>3</v>
      </c>
      <c r="C99" s="114" t="s">
        <v>259</v>
      </c>
      <c r="D99" s="78" t="s">
        <v>108</v>
      </c>
      <c r="F99" s="8"/>
      <c r="G99" s="8"/>
      <c r="I99" s="26"/>
    </row>
    <row r="100" spans="1:9" x14ac:dyDescent="0.2">
      <c r="A100" s="111" t="s">
        <v>449</v>
      </c>
      <c r="B100" s="197">
        <f>'Calculations - Dual'!AR105</f>
        <v>5.0333901990418886</v>
      </c>
      <c r="C100" s="206" t="s">
        <v>248</v>
      </c>
      <c r="D100" s="78"/>
      <c r="F100" s="8"/>
      <c r="G100" s="8"/>
      <c r="H100" s="454" t="s">
        <v>577</v>
      </c>
      <c r="I100" s="26"/>
    </row>
    <row r="101" spans="1:9" x14ac:dyDescent="0.2">
      <c r="A101" s="35" t="s">
        <v>448</v>
      </c>
      <c r="B101" s="707">
        <f>'Calculations - Dual'!AZ105</f>
        <v>13.792171341291384</v>
      </c>
      <c r="C101" s="78" t="s">
        <v>454</v>
      </c>
      <c r="D101" s="78" t="s">
        <v>612</v>
      </c>
      <c r="F101" s="8"/>
      <c r="G101" s="8"/>
      <c r="H101" s="8"/>
      <c r="I101" s="26"/>
    </row>
    <row r="102" spans="1:9" x14ac:dyDescent="0.2">
      <c r="A102" s="40"/>
      <c r="B102" s="197"/>
      <c r="C102" s="78"/>
      <c r="D102" s="78"/>
      <c r="F102" s="8"/>
      <c r="G102" s="8"/>
      <c r="H102" s="8"/>
      <c r="I102" s="26"/>
    </row>
    <row r="103" spans="1:9" ht="13.5" thickBot="1" x14ac:dyDescent="0.25">
      <c r="A103" s="30"/>
      <c r="B103" s="30"/>
      <c r="C103" s="30"/>
      <c r="D103" s="30"/>
      <c r="E103" s="30"/>
      <c r="F103" s="30"/>
      <c r="G103" s="30"/>
      <c r="H103" s="30"/>
      <c r="I103" s="31"/>
    </row>
    <row r="105" spans="1:9" ht="13.5" thickBot="1" x14ac:dyDescent="0.25">
      <c r="A105" s="8"/>
      <c r="B105" s="8"/>
      <c r="C105" s="40"/>
      <c r="D105" s="8"/>
      <c r="E105" s="8"/>
      <c r="F105" s="8"/>
      <c r="G105" s="8"/>
      <c r="H105" s="8"/>
      <c r="I105" s="8"/>
    </row>
    <row r="106" spans="1:9" ht="15.75" x14ac:dyDescent="0.25">
      <c r="A106" s="62" t="s">
        <v>55</v>
      </c>
      <c r="B106" s="63"/>
      <c r="C106" s="173"/>
      <c r="D106" s="63"/>
      <c r="E106" s="63"/>
      <c r="F106" s="63"/>
      <c r="G106" s="63"/>
      <c r="H106" s="63"/>
      <c r="I106" s="64"/>
    </row>
    <row r="107" spans="1:9" x14ac:dyDescent="0.2">
      <c r="A107" s="567" t="s">
        <v>520</v>
      </c>
      <c r="B107" s="570">
        <f>0.05*VIN_nom</f>
        <v>0.67500000000000004</v>
      </c>
      <c r="C107" s="112" t="s">
        <v>455</v>
      </c>
      <c r="D107" s="77" t="s">
        <v>450</v>
      </c>
      <c r="E107" s="8"/>
      <c r="F107" s="8"/>
      <c r="G107" s="8"/>
      <c r="H107" s="8"/>
      <c r="I107" s="66"/>
    </row>
    <row r="108" spans="1:9" x14ac:dyDescent="0.2">
      <c r="A108" s="65"/>
      <c r="B108" s="13"/>
      <c r="C108" s="61"/>
      <c r="E108" s="8"/>
      <c r="F108" s="8"/>
      <c r="G108" s="8"/>
      <c r="H108" s="8"/>
      <c r="I108" s="66"/>
    </row>
    <row r="109" spans="1:9" x14ac:dyDescent="0.2">
      <c r="A109" s="67" t="s">
        <v>58</v>
      </c>
      <c r="B109" s="426"/>
      <c r="C109" s="206" t="s">
        <v>30</v>
      </c>
      <c r="E109" s="8"/>
      <c r="F109" s="8"/>
      <c r="G109" s="8"/>
      <c r="H109" s="8"/>
      <c r="I109" s="66"/>
    </row>
    <row r="110" spans="1:9" x14ac:dyDescent="0.2">
      <c r="A110" s="67" t="s">
        <v>98</v>
      </c>
      <c r="B110" s="190">
        <f>'Calculations - Single'!BC105</f>
        <v>1.9941463931835295</v>
      </c>
      <c r="C110" s="206" t="s">
        <v>97</v>
      </c>
      <c r="E110" s="8"/>
      <c r="F110" s="8"/>
      <c r="G110" s="8"/>
      <c r="H110" s="8"/>
      <c r="I110" s="66"/>
    </row>
    <row r="111" spans="1:9" x14ac:dyDescent="0.2">
      <c r="A111" s="205" t="s">
        <v>181</v>
      </c>
      <c r="B111" s="614">
        <f>MAX(4.7,Cinmin)</f>
        <v>4.7</v>
      </c>
      <c r="C111" s="206" t="s">
        <v>97</v>
      </c>
      <c r="E111" s="8"/>
      <c r="F111" s="8"/>
      <c r="G111" s="8"/>
      <c r="H111" s="8"/>
      <c r="I111" s="66"/>
    </row>
    <row r="112" spans="1:9" x14ac:dyDescent="0.2">
      <c r="A112" s="67" t="s">
        <v>28</v>
      </c>
      <c r="B112" s="568">
        <f>'Design PSR Flyback Converter'!E17</f>
        <v>10</v>
      </c>
      <c r="C112" s="206" t="s">
        <v>97</v>
      </c>
      <c r="D112" s="8" t="s">
        <v>60</v>
      </c>
      <c r="F112" s="8"/>
      <c r="G112" s="8"/>
      <c r="H112" s="8"/>
      <c r="I112" s="66"/>
    </row>
    <row r="113" spans="1:9" x14ac:dyDescent="0.2">
      <c r="A113" s="67"/>
      <c r="B113" s="566"/>
      <c r="C113" s="59"/>
      <c r="D113" s="8"/>
      <c r="F113" s="8"/>
      <c r="G113" s="8"/>
      <c r="H113" s="8"/>
      <c r="I113" s="66"/>
    </row>
    <row r="114" spans="1:9" x14ac:dyDescent="0.2">
      <c r="A114" s="68" t="s">
        <v>99</v>
      </c>
      <c r="B114" s="425">
        <f>(Vinripple1-B118*B120/Cin)/B119</f>
        <v>0.1717221896836042</v>
      </c>
      <c r="C114" s="114" t="s">
        <v>45</v>
      </c>
      <c r="D114" s="8"/>
      <c r="F114" s="8"/>
      <c r="G114" s="8"/>
      <c r="H114" s="8"/>
      <c r="I114" s="66"/>
    </row>
    <row r="115" spans="1:9" x14ac:dyDescent="0.2">
      <c r="A115" s="67" t="s">
        <v>37</v>
      </c>
      <c r="B115" s="60">
        <f>'Design PSR Flyback Converter'!E18/1000</f>
        <v>3.0000000000000001E-3</v>
      </c>
      <c r="C115" s="114" t="s">
        <v>45</v>
      </c>
      <c r="D115" s="78" t="s">
        <v>109</v>
      </c>
      <c r="F115" s="8"/>
      <c r="G115" s="8"/>
      <c r="H115" s="8"/>
      <c r="I115" s="66"/>
    </row>
    <row r="116" spans="1:9" x14ac:dyDescent="0.2">
      <c r="A116" s="205" t="s">
        <v>183</v>
      </c>
      <c r="B116" s="373">
        <f>'Design PSR Flyback Converter'!E18</f>
        <v>3</v>
      </c>
      <c r="C116" s="18" t="s">
        <v>162</v>
      </c>
      <c r="D116" s="78"/>
      <c r="F116" s="8"/>
      <c r="G116" s="8"/>
      <c r="H116" s="8"/>
      <c r="I116" s="66"/>
    </row>
    <row r="117" spans="1:9" x14ac:dyDescent="0.2">
      <c r="A117" s="205"/>
      <c r="B117" s="373"/>
      <c r="C117" s="18"/>
      <c r="D117" s="78"/>
      <c r="F117" s="8"/>
      <c r="G117" s="8"/>
      <c r="H117" s="8"/>
      <c r="I117" s="66"/>
    </row>
    <row r="118" spans="1:9" x14ac:dyDescent="0.2">
      <c r="A118" s="205" t="s">
        <v>452</v>
      </c>
      <c r="B118" s="431">
        <f>CHOOSE(MODE, Vout*Iout/VIN_nom/Efficiency, Vout*Iout/VIN_nom/Efficiency)</f>
        <v>0.74853801169590661</v>
      </c>
      <c r="C118" s="78" t="s">
        <v>1</v>
      </c>
      <c r="D118" s="78"/>
      <c r="F118" s="8"/>
      <c r="G118" s="8"/>
      <c r="H118" s="8"/>
      <c r="I118" s="66"/>
    </row>
    <row r="119" spans="1:9" x14ac:dyDescent="0.2">
      <c r="A119" s="205" t="s">
        <v>456</v>
      </c>
      <c r="B119" s="431">
        <f>CHOOSE(MODE, 'Calculations - Single'!AJ105, 'Calculations - Dual'!$AI$105)</f>
        <v>3.1469149063134032</v>
      </c>
      <c r="C119" s="78" t="s">
        <v>1</v>
      </c>
      <c r="D119" s="78"/>
      <c r="F119" s="8"/>
      <c r="G119" s="8"/>
      <c r="H119" s="8"/>
      <c r="I119" s="66"/>
    </row>
    <row r="120" spans="1:9" x14ac:dyDescent="0.2">
      <c r="A120" s="205" t="s">
        <v>453</v>
      </c>
      <c r="B120" s="431">
        <f>CHOOSE(MODE, 'Calculations - Single'!AU105, 'Calculations - Dual'!$AT$105)</f>
        <v>1.7982370893219444</v>
      </c>
      <c r="C120" s="206" t="s">
        <v>248</v>
      </c>
      <c r="D120" s="78"/>
      <c r="F120" s="8"/>
      <c r="G120" s="8"/>
      <c r="H120" s="8"/>
      <c r="I120" s="66"/>
    </row>
    <row r="121" spans="1:9" x14ac:dyDescent="0.2">
      <c r="A121" s="205" t="s">
        <v>451</v>
      </c>
      <c r="B121" s="710">
        <f>CHOOSE(MODE, 'Calculations - Single'!BD105, 'Calculations - Dual'!$BB$105)</f>
        <v>136.85049557497601</v>
      </c>
      <c r="C121" s="206" t="s">
        <v>454</v>
      </c>
      <c r="D121" s="77" t="s">
        <v>457</v>
      </c>
      <c r="E121" s="569"/>
      <c r="F121" s="206"/>
      <c r="G121" s="8"/>
      <c r="H121" s="8"/>
      <c r="I121" s="66"/>
    </row>
    <row r="122" spans="1:9" ht="13.5" thickBot="1" x14ac:dyDescent="0.25">
      <c r="A122" s="69"/>
      <c r="B122" s="70"/>
      <c r="C122" s="70"/>
      <c r="D122" s="70"/>
      <c r="E122" s="71"/>
      <c r="F122" s="71"/>
      <c r="G122" s="71"/>
      <c r="H122" s="71"/>
      <c r="I122" s="72"/>
    </row>
    <row r="123" spans="1:9" x14ac:dyDescent="0.2">
      <c r="A123" s="8"/>
      <c r="B123" s="8"/>
      <c r="C123" s="40"/>
      <c r="D123" s="8"/>
      <c r="E123" s="8"/>
      <c r="F123" s="8"/>
      <c r="G123" s="8"/>
      <c r="H123" s="8"/>
      <c r="I123" s="8"/>
    </row>
    <row r="124" spans="1:9" ht="16.5" thickBot="1" x14ac:dyDescent="0.3">
      <c r="A124" s="51" t="s">
        <v>62</v>
      </c>
      <c r="B124" s="8"/>
      <c r="C124" s="40"/>
      <c r="D124" s="8"/>
      <c r="E124" s="8"/>
      <c r="F124" s="8"/>
      <c r="G124" s="8"/>
      <c r="H124" s="8"/>
      <c r="I124" s="8"/>
    </row>
    <row r="125" spans="1:9" x14ac:dyDescent="0.2">
      <c r="A125" s="53" t="s">
        <v>64</v>
      </c>
      <c r="B125" s="10">
        <f>'Design PSR Flyback Converter'!E29/1000</f>
        <v>8.9999999999999993E-3</v>
      </c>
      <c r="C125" s="32" t="s">
        <v>51</v>
      </c>
      <c r="D125" s="80" t="s">
        <v>177</v>
      </c>
      <c r="E125" s="32"/>
      <c r="F125" s="32"/>
      <c r="G125" s="32"/>
      <c r="H125" s="32"/>
      <c r="I125" s="33"/>
    </row>
    <row r="126" spans="1:9" x14ac:dyDescent="0.2">
      <c r="A126" s="25" t="s">
        <v>65</v>
      </c>
      <c r="B126" s="200">
        <v>1.0000000000000001E-5</v>
      </c>
      <c r="C126" s="8" t="s">
        <v>1</v>
      </c>
      <c r="D126" s="78" t="s">
        <v>310</v>
      </c>
      <c r="E126" s="8"/>
      <c r="F126" s="8"/>
      <c r="G126" s="8"/>
      <c r="H126" s="8"/>
      <c r="I126" s="26"/>
    </row>
    <row r="127" spans="1:9" x14ac:dyDescent="0.2">
      <c r="A127" s="25" t="s">
        <v>66</v>
      </c>
      <c r="B127" s="700">
        <f>5*Tss*1000*0.000000001</f>
        <v>4.5000000000000006E-8</v>
      </c>
      <c r="C127" s="8" t="s">
        <v>13</v>
      </c>
      <c r="D127" s="78" t="s">
        <v>312</v>
      </c>
      <c r="E127" s="8"/>
      <c r="F127" s="8"/>
      <c r="G127" s="8"/>
      <c r="H127" s="8"/>
      <c r="I127" s="26"/>
    </row>
    <row r="128" spans="1:9" ht="13.5" thickBot="1" x14ac:dyDescent="0.25">
      <c r="A128" s="29" t="s">
        <v>72</v>
      </c>
      <c r="B128" s="201">
        <f>'Standard Value Calculator'!B4</f>
        <v>4.6999999999999997E-8</v>
      </c>
      <c r="C128" s="30" t="s">
        <v>13</v>
      </c>
      <c r="D128" s="81" t="s">
        <v>313</v>
      </c>
      <c r="E128" s="30"/>
      <c r="F128" s="30"/>
      <c r="G128" s="30"/>
      <c r="H128" s="30"/>
      <c r="I128" s="31"/>
    </row>
    <row r="130" spans="1:9" ht="16.5" thickBot="1" x14ac:dyDescent="0.3">
      <c r="A130" s="51" t="s">
        <v>572</v>
      </c>
      <c r="B130" s="8"/>
      <c r="C130" s="40"/>
      <c r="D130" s="8"/>
      <c r="E130" s="8"/>
      <c r="F130" s="8"/>
      <c r="G130" s="8"/>
      <c r="H130" s="8"/>
      <c r="I130" s="8"/>
    </row>
    <row r="131" spans="1:9" ht="12.75" customHeight="1" x14ac:dyDescent="0.2">
      <c r="A131" s="110"/>
      <c r="B131" s="54"/>
      <c r="C131" s="160"/>
      <c r="D131" s="80"/>
      <c r="E131" s="32"/>
      <c r="F131" s="32"/>
      <c r="G131" s="32"/>
      <c r="H131" s="32"/>
      <c r="I131" s="33"/>
    </row>
    <row r="132" spans="1:9" ht="12.75" customHeight="1" x14ac:dyDescent="0.2">
      <c r="A132" s="111" t="s">
        <v>111</v>
      </c>
      <c r="B132" s="191">
        <v>1.5</v>
      </c>
      <c r="C132" s="78" t="s">
        <v>0</v>
      </c>
      <c r="D132" s="78"/>
      <c r="E132" s="8"/>
      <c r="F132" s="8"/>
      <c r="G132" s="8"/>
      <c r="H132" s="8"/>
      <c r="I132" s="26"/>
    </row>
    <row r="133" spans="1:9" ht="12.75" customHeight="1" x14ac:dyDescent="0.2">
      <c r="A133" s="111" t="s">
        <v>112</v>
      </c>
      <c r="B133" s="191">
        <v>1.45</v>
      </c>
      <c r="C133" s="78" t="s">
        <v>0</v>
      </c>
      <c r="D133" s="78"/>
      <c r="E133" s="8"/>
      <c r="F133" s="8"/>
      <c r="G133" s="8"/>
      <c r="H133" s="8"/>
      <c r="I133" s="26"/>
    </row>
    <row r="134" spans="1:9" ht="12.75" customHeight="1" x14ac:dyDescent="0.2">
      <c r="A134" s="111" t="s">
        <v>148</v>
      </c>
      <c r="B134" s="38">
        <f>B132-B133</f>
        <v>5.0000000000000044E-2</v>
      </c>
      <c r="C134" s="78" t="s">
        <v>0</v>
      </c>
      <c r="D134" s="78"/>
      <c r="E134" s="8"/>
      <c r="F134" s="8"/>
      <c r="G134" s="8"/>
      <c r="H134" s="8"/>
      <c r="I134" s="26"/>
    </row>
    <row r="135" spans="1:9" ht="12.75" customHeight="1" x14ac:dyDescent="0.2">
      <c r="A135" s="111" t="s">
        <v>381</v>
      </c>
      <c r="B135" s="8">
        <v>0</v>
      </c>
      <c r="C135" s="112" t="s">
        <v>1</v>
      </c>
      <c r="D135" s="78"/>
      <c r="E135" s="8"/>
      <c r="F135" s="8"/>
      <c r="G135" s="8"/>
      <c r="H135" s="8"/>
      <c r="I135" s="26"/>
    </row>
    <row r="136" spans="1:9" ht="12.75" customHeight="1" x14ac:dyDescent="0.2">
      <c r="A136" s="111" t="s">
        <v>380</v>
      </c>
      <c r="B136" s="534">
        <v>5.0000000000000001E-3</v>
      </c>
      <c r="C136" s="112" t="s">
        <v>30</v>
      </c>
      <c r="D136" s="78"/>
      <c r="E136" s="8"/>
      <c r="F136" s="8"/>
      <c r="G136" s="8"/>
      <c r="H136" s="8"/>
      <c r="I136" s="26"/>
    </row>
    <row r="137" spans="1:9" ht="12.75" customHeight="1" x14ac:dyDescent="0.2">
      <c r="A137" s="111" t="s">
        <v>379</v>
      </c>
      <c r="B137" s="535">
        <f>Iuvlo2-Iuvlo1</f>
        <v>5.0000000000000001E-3</v>
      </c>
      <c r="C137" s="112" t="s">
        <v>30</v>
      </c>
      <c r="D137" s="78"/>
      <c r="F137" s="8"/>
      <c r="G137" s="8"/>
      <c r="H137" s="8"/>
      <c r="I137" s="26"/>
    </row>
    <row r="138" spans="1:9" ht="12.75" customHeight="1" x14ac:dyDescent="0.2">
      <c r="A138" s="111"/>
      <c r="B138" s="38"/>
      <c r="C138" s="382"/>
      <c r="D138" s="78"/>
      <c r="E138" s="8"/>
      <c r="F138" s="8"/>
      <c r="G138" s="8"/>
      <c r="H138" s="8"/>
      <c r="I138" s="26"/>
    </row>
    <row r="139" spans="1:9" ht="12.75" customHeight="1" x14ac:dyDescent="0.3">
      <c r="A139" s="111" t="s">
        <v>110</v>
      </c>
      <c r="B139" s="189">
        <f>'Design PSR Flyback Converter'!E35</f>
        <v>6</v>
      </c>
      <c r="C139" s="112" t="s">
        <v>0</v>
      </c>
      <c r="E139" s="8"/>
      <c r="F139" s="8"/>
      <c r="G139" s="8"/>
      <c r="H139" s="8"/>
      <c r="I139" s="26"/>
    </row>
    <row r="140" spans="1:9" ht="12.75" customHeight="1" x14ac:dyDescent="0.3">
      <c r="A140" s="111" t="s">
        <v>296</v>
      </c>
      <c r="B140" s="189">
        <f>'Design PSR Flyback Converter'!E36</f>
        <v>4.5</v>
      </c>
      <c r="C140" s="112" t="s">
        <v>0</v>
      </c>
      <c r="E140" s="8"/>
      <c r="F140" s="8"/>
      <c r="G140" s="8"/>
      <c r="H140" s="8"/>
      <c r="I140" s="26"/>
    </row>
    <row r="141" spans="1:9" ht="12.75" customHeight="1" x14ac:dyDescent="0.2">
      <c r="A141" s="111"/>
      <c r="B141" s="38"/>
      <c r="C141" s="112"/>
      <c r="E141" s="8"/>
      <c r="F141" s="8"/>
      <c r="G141" s="8"/>
      <c r="H141" s="8"/>
      <c r="I141" s="26"/>
    </row>
    <row r="142" spans="1:9" ht="12.75" customHeight="1" x14ac:dyDescent="0.3">
      <c r="A142" s="111" t="s">
        <v>126</v>
      </c>
      <c r="B142" s="605">
        <f>(VINuvlo_off-VINuvlo_on*Vuvlo_off/Vuvlo_on)/(Iuvlo1*Vuvlo_off/Vuvlo_on-Iuvlo2)</f>
        <v>259.99999999999994</v>
      </c>
      <c r="C142" s="18" t="s">
        <v>113</v>
      </c>
      <c r="D142" s="8">
        <f>'Standard Value Calculator'!J16</f>
        <v>261</v>
      </c>
      <c r="E142" s="18" t="s">
        <v>113</v>
      </c>
      <c r="F142" s="38">
        <f>IF(Ruvlo1&lt;0,"N/A",D142)</f>
        <v>261</v>
      </c>
      <c r="G142" s="38" t="str">
        <f>IF(Ruvlo1&lt;0,"N/A",D142&amp;"kΩ")</f>
        <v>261kΩ</v>
      </c>
      <c r="I142" s="26"/>
    </row>
    <row r="143" spans="1:9" ht="12.75" customHeight="1" x14ac:dyDescent="0.3">
      <c r="A143" s="111" t="s">
        <v>127</v>
      </c>
      <c r="B143" s="192">
        <f>D142*Vuvlo_on/(VINuvlo_on-Vuvlo_on+Ruvlo1*Iuvlo1)</f>
        <v>87</v>
      </c>
      <c r="C143" s="18" t="s">
        <v>113</v>
      </c>
      <c r="D143" s="8">
        <f>'Standard Value Calculator'!J17</f>
        <v>86.600000000000009</v>
      </c>
      <c r="E143" s="18" t="s">
        <v>113</v>
      </c>
      <c r="F143" s="38">
        <f>IF(F142="N/A","N/A",D143)</f>
        <v>86.600000000000009</v>
      </c>
      <c r="G143" s="38" t="str">
        <f>IF(G142="N/A","N/A",D143&amp;"kΩ")</f>
        <v>86.6kΩ</v>
      </c>
      <c r="I143" s="26"/>
    </row>
    <row r="144" spans="1:9" ht="12.75" customHeight="1" x14ac:dyDescent="0.2">
      <c r="A144" s="111"/>
      <c r="B144" s="113"/>
      <c r="C144" s="18"/>
      <c r="D144" s="38"/>
      <c r="E144" s="18"/>
      <c r="F144" s="38"/>
      <c r="G144" s="38"/>
      <c r="I144" s="26"/>
    </row>
    <row r="145" spans="1:9" ht="12.75" customHeight="1" x14ac:dyDescent="0.3">
      <c r="A145" s="111" t="s">
        <v>114</v>
      </c>
      <c r="B145" s="606">
        <f>(D142+D143)/D143*Vuvlo_on</f>
        <v>6.0207852193995386</v>
      </c>
      <c r="C145" s="4" t="s">
        <v>0</v>
      </c>
      <c r="D145" s="6"/>
      <c r="E145" s="8"/>
      <c r="F145" s="18"/>
      <c r="G145" s="8"/>
      <c r="H145" s="8"/>
      <c r="I145" s="26"/>
    </row>
    <row r="146" spans="1:9" ht="12.75" customHeight="1" x14ac:dyDescent="0.3">
      <c r="A146" s="111" t="s">
        <v>115</v>
      </c>
      <c r="B146" s="606">
        <f>(D142+D143)/D143*Vuvlo_off-Iuvlo2*D142</f>
        <v>4.5150923787528869</v>
      </c>
      <c r="C146" s="4" t="s">
        <v>0</v>
      </c>
      <c r="E146" s="8"/>
      <c r="F146" s="18"/>
      <c r="G146" s="8"/>
      <c r="H146" s="8"/>
      <c r="I146" s="26"/>
    </row>
    <row r="147" spans="1:9" ht="12.75" customHeight="1" thickBot="1" x14ac:dyDescent="0.25">
      <c r="A147" s="29"/>
      <c r="B147" s="39"/>
      <c r="C147" s="161"/>
      <c r="D147" s="30"/>
      <c r="E147" s="30"/>
      <c r="F147" s="30"/>
      <c r="G147" s="30"/>
      <c r="H147" s="30"/>
      <c r="I147" s="31"/>
    </row>
    <row r="148" spans="1:9" x14ac:dyDescent="0.2">
      <c r="B148" s="17"/>
      <c r="C148" s="162"/>
    </row>
    <row r="149" spans="1:9" ht="16.5" thickBot="1" x14ac:dyDescent="0.3">
      <c r="A149" s="51" t="s">
        <v>531</v>
      </c>
      <c r="B149" s="8"/>
      <c r="C149" s="40"/>
      <c r="D149" s="8"/>
      <c r="E149" s="8"/>
      <c r="F149" s="8"/>
      <c r="G149" s="8"/>
      <c r="H149" s="8"/>
      <c r="I149" s="8"/>
    </row>
    <row r="150" spans="1:9" x14ac:dyDescent="0.2">
      <c r="A150" s="180" t="s">
        <v>16</v>
      </c>
      <c r="B150" s="181">
        <v>3.1415926500000002</v>
      </c>
      <c r="C150" s="182"/>
      <c r="D150" s="183" t="s">
        <v>171</v>
      </c>
      <c r="E150" s="32"/>
      <c r="F150" s="32"/>
      <c r="G150" s="32"/>
      <c r="H150" s="32"/>
      <c r="I150" s="33"/>
    </row>
    <row r="151" spans="1:9" x14ac:dyDescent="0.2">
      <c r="A151" s="77" t="s">
        <v>186</v>
      </c>
      <c r="B151" s="209"/>
      <c r="C151" s="184" t="s">
        <v>185</v>
      </c>
      <c r="D151" s="186" t="s">
        <v>564</v>
      </c>
      <c r="I151" s="26"/>
    </row>
    <row r="152" spans="1:9" x14ac:dyDescent="0.2">
      <c r="A152" s="77" t="s">
        <v>187</v>
      </c>
      <c r="B152" s="209"/>
      <c r="C152" s="184" t="s">
        <v>185</v>
      </c>
      <c r="D152" s="186"/>
      <c r="I152" s="26"/>
    </row>
    <row r="153" spans="1:9" x14ac:dyDescent="0.2">
      <c r="C153" s="8"/>
      <c r="D153" s="8"/>
      <c r="F153" s="8"/>
      <c r="G153" s="8"/>
      <c r="H153" s="8"/>
      <c r="I153" s="26"/>
    </row>
    <row r="154" spans="1:9" x14ac:dyDescent="0.2">
      <c r="A154" s="111" t="s">
        <v>397</v>
      </c>
      <c r="B154" s="174">
        <f>(Vout+Vfwd1)*Nps*10</f>
        <v>122.5</v>
      </c>
      <c r="C154" s="18" t="s">
        <v>113</v>
      </c>
      <c r="D154" s="78" t="s">
        <v>533</v>
      </c>
      <c r="F154" s="8"/>
      <c r="G154" s="8"/>
      <c r="H154" s="8"/>
      <c r="I154" s="26">
        <v>1</v>
      </c>
    </row>
    <row r="155" spans="1:9" x14ac:dyDescent="0.2">
      <c r="A155" s="35" t="s">
        <v>532</v>
      </c>
      <c r="B155" s="179">
        <f>Rfb/1000</f>
        <v>121</v>
      </c>
      <c r="C155" s="18" t="s">
        <v>113</v>
      </c>
      <c r="D155" s="78" t="s">
        <v>530</v>
      </c>
      <c r="F155" s="8"/>
      <c r="G155" s="8"/>
      <c r="H155" s="8"/>
      <c r="I155" s="26"/>
    </row>
    <row r="156" spans="1:9" x14ac:dyDescent="0.2">
      <c r="A156" s="111" t="s">
        <v>53</v>
      </c>
      <c r="B156" s="37">
        <f>'Standard Value Calculator'!J10/1000</f>
        <v>121</v>
      </c>
      <c r="C156" s="18" t="s">
        <v>113</v>
      </c>
      <c r="D156" s="78" t="s">
        <v>365</v>
      </c>
      <c r="F156" s="8"/>
      <c r="G156" s="8"/>
      <c r="H156" s="8"/>
      <c r="I156" s="26"/>
    </row>
    <row r="157" spans="1:9" x14ac:dyDescent="0.2">
      <c r="A157" s="78"/>
      <c r="B157" s="13"/>
      <c r="C157" s="18"/>
      <c r="D157" s="78"/>
      <c r="F157" s="8"/>
      <c r="G157" s="8"/>
      <c r="H157" s="8"/>
      <c r="I157" s="26"/>
    </row>
    <row r="158" spans="1:9" x14ac:dyDescent="0.2">
      <c r="A158" s="112" t="s">
        <v>534</v>
      </c>
      <c r="B158" s="608">
        <f>'Design PSR Flyback Converter'!E32</f>
        <v>-1.5</v>
      </c>
      <c r="C158" s="112" t="s">
        <v>390</v>
      </c>
      <c r="D158" s="78"/>
      <c r="F158" s="8"/>
      <c r="G158" s="8"/>
      <c r="H158" s="8"/>
      <c r="I158" s="26"/>
    </row>
    <row r="159" spans="1:9" ht="15.75" x14ac:dyDescent="0.3">
      <c r="A159" s="25" t="s">
        <v>529</v>
      </c>
      <c r="B159" s="375">
        <f>3*B155/Nps/ABS(Diode_TC)*1000</f>
        <v>242000</v>
      </c>
      <c r="C159" s="18" t="s">
        <v>136</v>
      </c>
      <c r="D159" s="78"/>
      <c r="F159" s="8"/>
      <c r="G159" s="8"/>
      <c r="H159" s="8"/>
      <c r="I159" s="26"/>
    </row>
    <row r="160" spans="1:9" x14ac:dyDescent="0.2">
      <c r="A160" s="13" t="s">
        <v>535</v>
      </c>
      <c r="B160" s="172">
        <f>'Standard Value Calculator'!J9/1000</f>
        <v>243</v>
      </c>
      <c r="C160" s="18" t="s">
        <v>113</v>
      </c>
      <c r="D160" s="78"/>
      <c r="F160" s="8"/>
      <c r="G160" s="8"/>
      <c r="H160" s="8"/>
      <c r="I160" s="26"/>
    </row>
    <row r="161" spans="1:9" ht="13.5" thickBot="1" x14ac:dyDescent="0.25">
      <c r="A161" s="185"/>
      <c r="B161" s="185"/>
      <c r="C161" s="41"/>
      <c r="D161" s="30"/>
      <c r="E161" s="41"/>
      <c r="F161" s="30"/>
      <c r="G161" s="30"/>
      <c r="H161" s="30"/>
      <c r="I161" s="31"/>
    </row>
    <row r="162" spans="1:9" x14ac:dyDescent="0.2">
      <c r="A162" s="3"/>
      <c r="B162" s="19"/>
      <c r="C162" s="19"/>
      <c r="E162" s="19"/>
    </row>
    <row r="163" spans="1:9" x14ac:dyDescent="0.2">
      <c r="A163" s="3"/>
      <c r="B163" s="19"/>
      <c r="C163" s="19"/>
      <c r="E163" s="19"/>
    </row>
    <row r="164" spans="1:9" ht="16.5" thickBot="1" x14ac:dyDescent="0.3">
      <c r="A164" s="55" t="s">
        <v>83</v>
      </c>
      <c r="B164" s="8"/>
      <c r="C164" s="40"/>
      <c r="D164" s="8"/>
      <c r="E164" s="8"/>
      <c r="F164" s="8"/>
      <c r="G164" s="8"/>
      <c r="H164" s="8"/>
      <c r="I164" s="8"/>
    </row>
    <row r="165" spans="1:9" x14ac:dyDescent="0.2">
      <c r="A165" s="53"/>
      <c r="B165" s="32"/>
      <c r="C165" s="163"/>
      <c r="D165" s="32"/>
      <c r="E165" s="32"/>
      <c r="F165" s="32"/>
      <c r="G165" s="32"/>
      <c r="H165" s="32"/>
      <c r="I165" s="33"/>
    </row>
    <row r="166" spans="1:9" x14ac:dyDescent="0.2">
      <c r="A166" s="35" t="s">
        <v>26</v>
      </c>
      <c r="B166" s="8"/>
      <c r="C166" s="40"/>
      <c r="D166" s="8"/>
      <c r="E166" s="8"/>
      <c r="F166" s="8"/>
      <c r="G166" s="8"/>
      <c r="H166" s="8"/>
      <c r="I166" s="26"/>
    </row>
    <row r="167" spans="1:9" x14ac:dyDescent="0.2">
      <c r="A167" s="25" t="s">
        <v>36</v>
      </c>
      <c r="B167" s="11">
        <v>25</v>
      </c>
      <c r="C167" s="78" t="s">
        <v>102</v>
      </c>
      <c r="D167" s="8" t="s">
        <v>40</v>
      </c>
      <c r="F167" s="8"/>
      <c r="G167" s="8"/>
      <c r="H167" s="8"/>
      <c r="I167" s="26"/>
    </row>
    <row r="168" spans="1:9" x14ac:dyDescent="0.2">
      <c r="A168" s="35" t="s">
        <v>29</v>
      </c>
      <c r="B168" s="8"/>
      <c r="C168" s="8"/>
      <c r="D168" s="8"/>
      <c r="F168" s="8"/>
      <c r="G168" s="8"/>
      <c r="H168" s="8"/>
      <c r="I168" s="26"/>
    </row>
    <row r="169" spans="1:9" x14ac:dyDescent="0.2">
      <c r="A169" s="25" t="s">
        <v>35</v>
      </c>
      <c r="B169" s="28">
        <f>4000/1000000</f>
        <v>4.0000000000000001E-3</v>
      </c>
      <c r="C169" s="78" t="s">
        <v>138</v>
      </c>
      <c r="D169" s="78" t="s">
        <v>565</v>
      </c>
      <c r="F169" s="8"/>
      <c r="G169" s="8"/>
      <c r="H169" s="8"/>
      <c r="I169" s="26"/>
    </row>
    <row r="170" spans="1:9" ht="15.75" x14ac:dyDescent="0.3">
      <c r="A170" s="111" t="s">
        <v>178</v>
      </c>
      <c r="B170" s="28">
        <v>20</v>
      </c>
      <c r="C170" s="112" t="s">
        <v>84</v>
      </c>
      <c r="D170" s="78" t="s">
        <v>566</v>
      </c>
      <c r="F170" s="8"/>
      <c r="G170" s="8"/>
      <c r="H170" s="8"/>
      <c r="I170" s="26"/>
    </row>
    <row r="171" spans="1:9" x14ac:dyDescent="0.2">
      <c r="A171" s="25" t="s">
        <v>37</v>
      </c>
      <c r="B171" s="11">
        <f>RCinEsr</f>
        <v>3.0000000000000001E-3</v>
      </c>
      <c r="C171" s="114" t="s">
        <v>45</v>
      </c>
      <c r="D171" s="78" t="s">
        <v>179</v>
      </c>
      <c r="F171" s="8"/>
      <c r="G171" s="8"/>
      <c r="H171" s="8"/>
      <c r="I171" s="26"/>
    </row>
    <row r="172" spans="1:9" x14ac:dyDescent="0.2">
      <c r="A172" s="25"/>
      <c r="B172" s="11"/>
      <c r="C172" s="114"/>
      <c r="D172" s="78"/>
      <c r="F172" s="8"/>
      <c r="G172" s="8"/>
      <c r="H172" s="8"/>
      <c r="I172" s="26"/>
    </row>
    <row r="173" spans="1:9" x14ac:dyDescent="0.2">
      <c r="A173" s="34" t="s">
        <v>52</v>
      </c>
      <c r="B173" s="8"/>
      <c r="C173" s="8"/>
      <c r="D173" s="8"/>
      <c r="F173" s="8"/>
      <c r="G173" s="8"/>
      <c r="H173" s="8"/>
      <c r="I173" s="26"/>
    </row>
    <row r="174" spans="1:9" x14ac:dyDescent="0.2">
      <c r="A174" s="111" t="s">
        <v>286</v>
      </c>
      <c r="B174" s="28">
        <f>Vdd</f>
        <v>5</v>
      </c>
      <c r="C174" s="61" t="s">
        <v>0</v>
      </c>
      <c r="D174" s="187"/>
      <c r="F174" s="8"/>
      <c r="G174" s="8"/>
      <c r="H174" s="8"/>
      <c r="I174" s="26"/>
    </row>
    <row r="175" spans="1:9" x14ac:dyDescent="0.2">
      <c r="A175" s="25" t="s">
        <v>49</v>
      </c>
      <c r="B175" s="36">
        <f>IQ</f>
        <v>2.9E-4</v>
      </c>
      <c r="C175" s="8" t="s">
        <v>1</v>
      </c>
      <c r="D175" s="8" t="s">
        <v>50</v>
      </c>
      <c r="F175" s="8"/>
      <c r="G175" s="8"/>
      <c r="H175" s="8"/>
      <c r="I175" s="26"/>
    </row>
    <row r="176" spans="1:9" x14ac:dyDescent="0.2">
      <c r="A176" s="25"/>
      <c r="B176" s="8"/>
      <c r="C176" s="8"/>
      <c r="D176" s="8"/>
      <c r="F176" s="8"/>
      <c r="G176" s="8"/>
      <c r="H176" s="8"/>
      <c r="I176" s="26"/>
    </row>
    <row r="177" spans="1:9" x14ac:dyDescent="0.2">
      <c r="A177" s="56" t="s">
        <v>173</v>
      </c>
      <c r="B177" s="43" t="s">
        <v>6</v>
      </c>
      <c r="C177" s="15" t="s">
        <v>33</v>
      </c>
      <c r="D177" s="8"/>
      <c r="F177" s="8"/>
      <c r="G177" s="8"/>
      <c r="H177" s="8"/>
      <c r="I177" s="26"/>
    </row>
    <row r="178" spans="1:9" x14ac:dyDescent="0.2">
      <c r="A178" s="57" t="s">
        <v>44</v>
      </c>
      <c r="B178" s="44"/>
      <c r="C178" s="45" t="s">
        <v>45</v>
      </c>
      <c r="D178" s="8"/>
      <c r="F178" s="8"/>
      <c r="G178" s="8"/>
      <c r="H178" s="8"/>
      <c r="I178" s="26"/>
    </row>
    <row r="179" spans="1:9" x14ac:dyDescent="0.2">
      <c r="A179" s="57" t="s">
        <v>46</v>
      </c>
      <c r="B179" s="14" t="e">
        <f>B178*ThetaJaCtrl</f>
        <v>#NAME?</v>
      </c>
      <c r="C179" s="112" t="s">
        <v>102</v>
      </c>
      <c r="D179" s="8"/>
      <c r="F179" s="8"/>
      <c r="G179" s="8"/>
      <c r="H179" s="8"/>
      <c r="I179" s="26"/>
    </row>
    <row r="180" spans="1:9" x14ac:dyDescent="0.2">
      <c r="A180" s="57" t="s">
        <v>87</v>
      </c>
      <c r="B180" s="14" t="e">
        <f>(Qg_Q1+Qg_Q2)*Fsw+IQ</f>
        <v>#NAME?</v>
      </c>
      <c r="C180" s="13" t="s">
        <v>1</v>
      </c>
      <c r="D180" s="8"/>
      <c r="F180" s="8"/>
      <c r="G180" s="8"/>
      <c r="H180" s="8"/>
      <c r="I180" s="26"/>
    </row>
    <row r="181" spans="1:9" x14ac:dyDescent="0.2">
      <c r="A181" s="57" t="s">
        <v>88</v>
      </c>
      <c r="B181" s="13" t="e">
        <f>Qrr_Q2*Fsw</f>
        <v>#NAME?</v>
      </c>
      <c r="C181" s="13" t="s">
        <v>1</v>
      </c>
      <c r="D181" s="8"/>
      <c r="F181" s="8"/>
      <c r="G181" s="8"/>
      <c r="H181" s="8"/>
      <c r="I181" s="26"/>
    </row>
    <row r="182" spans="1:9" x14ac:dyDescent="0.2">
      <c r="A182" s="57" t="s">
        <v>89</v>
      </c>
      <c r="B182" s="13" t="e">
        <f>C182/Vin</f>
        <v>#NAME?</v>
      </c>
      <c r="C182" s="13" t="e">
        <f>Deadtime*Fsw*(Ipp/2)*(Vsd_Q1+Vsd_Q2)</f>
        <v>#NAME?</v>
      </c>
      <c r="D182" s="8"/>
      <c r="F182" s="8"/>
      <c r="G182" s="8"/>
      <c r="H182" s="8"/>
      <c r="I182" s="26"/>
    </row>
    <row r="183" spans="1:9" x14ac:dyDescent="0.2">
      <c r="A183" s="57" t="s">
        <v>91</v>
      </c>
      <c r="B183" s="13" t="e">
        <f>SUM(B180:B182)</f>
        <v>#NAME?</v>
      </c>
      <c r="C183" s="13" t="s">
        <v>1</v>
      </c>
      <c r="D183" s="8"/>
      <c r="F183" s="8"/>
      <c r="G183" s="8"/>
      <c r="H183" s="8"/>
      <c r="I183" s="26"/>
    </row>
    <row r="184" spans="1:9" ht="13.5" thickBot="1" x14ac:dyDescent="0.25">
      <c r="A184" s="29"/>
      <c r="B184" s="30"/>
      <c r="C184" s="164"/>
      <c r="D184" s="30"/>
      <c r="E184" s="30"/>
      <c r="F184" s="30"/>
      <c r="G184" s="30"/>
      <c r="H184" s="30"/>
      <c r="I184" s="31"/>
    </row>
    <row r="185" spans="1:9" x14ac:dyDescent="0.2">
      <c r="A185" s="3"/>
      <c r="B185" s="3"/>
      <c r="C185" s="3"/>
    </row>
    <row r="186" spans="1:9" ht="21.75" customHeight="1" thickBot="1" x14ac:dyDescent="0.3">
      <c r="A186" s="51" t="s">
        <v>85</v>
      </c>
      <c r="B186" s="8"/>
      <c r="C186" s="40"/>
      <c r="D186" s="8"/>
      <c r="E186" s="8"/>
      <c r="F186" s="8"/>
      <c r="G186" s="8"/>
      <c r="H186" s="8"/>
      <c r="I186" s="8"/>
    </row>
    <row r="187" spans="1:9" x14ac:dyDescent="0.2">
      <c r="A187" s="53"/>
      <c r="B187" s="32"/>
      <c r="C187" s="163"/>
      <c r="D187" s="32"/>
      <c r="E187" s="58"/>
      <c r="F187" s="58"/>
      <c r="G187" s="58"/>
      <c r="H187" s="58"/>
      <c r="I187" s="33"/>
    </row>
    <row r="188" spans="1:9" x14ac:dyDescent="0.2">
      <c r="A188" s="25"/>
      <c r="B188" s="112"/>
      <c r="C188" s="40"/>
      <c r="D188" s="8"/>
      <c r="E188" s="204"/>
      <c r="F188" s="204"/>
      <c r="G188" s="204"/>
      <c r="H188" s="204"/>
      <c r="I188" s="26"/>
    </row>
    <row r="189" spans="1:9" x14ac:dyDescent="0.2">
      <c r="A189" s="25" t="str">
        <f>"RUV1 = "&amp;'Design PSR Flyback Converter'!E37&amp;"MΩ"</f>
        <v>RUV1 = 261MΩ</v>
      </c>
      <c r="B189" s="8" t="str">
        <f>C230</f>
        <v>261kΩ</v>
      </c>
      <c r="C189" s="40"/>
      <c r="D189" s="8"/>
      <c r="E189" s="204"/>
      <c r="F189" s="204"/>
      <c r="G189" s="204"/>
      <c r="H189" s="204"/>
      <c r="I189" s="26"/>
    </row>
    <row r="190" spans="1:9" x14ac:dyDescent="0.2">
      <c r="A190" s="25" t="str">
        <f>"RUV2 = "&amp;'Design PSR Flyback Converter'!E38&amp;"kΩ"</f>
        <v>RUV2 = 86.6kΩ</v>
      </c>
      <c r="B190" s="8" t="str">
        <f>C231</f>
        <v>86.6kΩ</v>
      </c>
      <c r="C190" s="40"/>
      <c r="D190" s="8"/>
      <c r="E190" s="204"/>
      <c r="F190" s="204"/>
      <c r="G190" s="204"/>
      <c r="H190" s="204"/>
      <c r="I190" s="26"/>
    </row>
    <row r="191" spans="1:9" x14ac:dyDescent="0.2">
      <c r="A191" s="25"/>
      <c r="B191" s="8"/>
      <c r="C191" s="40"/>
      <c r="D191" s="8"/>
      <c r="E191" s="204"/>
      <c r="F191" s="204"/>
      <c r="G191" s="204"/>
      <c r="H191" s="204"/>
      <c r="I191" s="26"/>
    </row>
    <row r="192" spans="1:9" x14ac:dyDescent="0.2">
      <c r="A192" s="25" t="str">
        <f>"Lmag = "&amp;'Design PSR Flyback Converter'!L7&amp;"µH"</f>
        <v>Lmag = 7µH</v>
      </c>
      <c r="B192" s="8" t="str">
        <f>'Design PSR Flyback Converter'!L7&amp;"µH"</f>
        <v>7µH</v>
      </c>
      <c r="C192" s="40"/>
      <c r="D192" s="8"/>
      <c r="E192" s="8"/>
      <c r="F192" s="8"/>
      <c r="G192" s="8"/>
      <c r="H192" s="8"/>
      <c r="I192" s="26"/>
    </row>
    <row r="193" spans="1:9" x14ac:dyDescent="0.2">
      <c r="A193" s="25" t="str">
        <f>"Rdcr = "&amp;Rdcr_pri*1000&amp;"mΩ"</f>
        <v>Rdcr = 40mΩ</v>
      </c>
      <c r="B193" s="203" t="str">
        <f>Rdcr_pri*1000&amp;"mΩ"</f>
        <v>40mΩ</v>
      </c>
      <c r="C193" s="40"/>
      <c r="D193" s="8"/>
      <c r="E193" s="8"/>
      <c r="F193" s="8"/>
      <c r="G193" s="8"/>
      <c r="H193" s="8"/>
      <c r="I193" s="26"/>
    </row>
    <row r="194" spans="1:9" x14ac:dyDescent="0.2">
      <c r="A194" s="111" t="s">
        <v>395</v>
      </c>
      <c r="B194" s="203" t="str">
        <f>W44</f>
        <v>1 : 1</v>
      </c>
      <c r="C194" s="40"/>
      <c r="D194" s="8"/>
      <c r="E194" s="8"/>
      <c r="F194" s="8"/>
      <c r="G194" s="8"/>
      <c r="H194" s="8"/>
      <c r="I194" s="26"/>
    </row>
    <row r="195" spans="1:9" x14ac:dyDescent="0.2">
      <c r="A195" s="25"/>
      <c r="B195" s="203"/>
      <c r="C195" s="40"/>
      <c r="D195" s="8"/>
      <c r="E195" s="8"/>
      <c r="F195" s="8"/>
      <c r="G195" s="8"/>
      <c r="H195" s="8"/>
      <c r="I195" s="26"/>
    </row>
    <row r="196" spans="1:9" x14ac:dyDescent="0.2">
      <c r="A196" s="25" t="str">
        <f>"Css = "&amp;ROUND(Css_u*1000000000,1)&amp;"nF"</f>
        <v>Css = 47nF</v>
      </c>
      <c r="B196" s="8" t="str">
        <f>ROUND(Css_u*1000000000,1)&amp;"nF"</f>
        <v>47nF</v>
      </c>
      <c r="C196" s="40"/>
      <c r="D196" s="8"/>
      <c r="E196" s="8"/>
      <c r="F196" s="8"/>
      <c r="G196" s="8"/>
      <c r="H196" s="8"/>
      <c r="I196" s="26"/>
    </row>
    <row r="197" spans="1:9" x14ac:dyDescent="0.2">
      <c r="A197" s="25"/>
      <c r="B197" s="8"/>
      <c r="C197" s="40"/>
      <c r="D197" s="8"/>
      <c r="E197" s="8"/>
      <c r="F197" s="8"/>
      <c r="G197" s="8"/>
      <c r="H197" s="8"/>
      <c r="I197" s="26"/>
    </row>
    <row r="198" spans="1:9" x14ac:dyDescent="0.2">
      <c r="A198" s="25" t="s">
        <v>57</v>
      </c>
      <c r="B198" s="8" t="str">
        <f>VIN_nom&amp;"V"</f>
        <v>13.5V</v>
      </c>
      <c r="C198" s="40"/>
      <c r="D198" s="8"/>
      <c r="E198" s="8"/>
      <c r="F198" s="8"/>
      <c r="G198" s="8"/>
      <c r="H198" s="8"/>
      <c r="I198" s="26"/>
    </row>
    <row r="199" spans="1:9" x14ac:dyDescent="0.2">
      <c r="A199" s="111" t="s">
        <v>188</v>
      </c>
      <c r="B199" s="8" t="str">
        <f>VIN_min&amp;"V..."&amp;VIN_max&amp;"V"</f>
        <v>9V...42V</v>
      </c>
      <c r="C199" s="40"/>
      <c r="D199" s="8"/>
      <c r="E199" s="8"/>
      <c r="F199" s="8"/>
      <c r="G199" s="8"/>
      <c r="H199" s="8"/>
      <c r="I199" s="26"/>
    </row>
    <row r="200" spans="1:9" x14ac:dyDescent="0.2">
      <c r="A200" s="111"/>
      <c r="B200" s="8"/>
      <c r="C200" s="40"/>
      <c r="D200" s="8"/>
      <c r="E200" s="8"/>
      <c r="F200" s="8"/>
      <c r="G200" s="8"/>
      <c r="H200" s="8"/>
      <c r="I200" s="26"/>
    </row>
    <row r="201" spans="1:9" x14ac:dyDescent="0.2">
      <c r="A201" s="25" t="str">
        <f>"VOUT = "&amp;'Design PSR Flyback Converter'!E10&amp;"V"</f>
        <v>VOUT = 12V</v>
      </c>
      <c r="B201" s="8" t="str">
        <f>'Design PSR Flyback Converter'!E10&amp;"V"</f>
        <v>12V</v>
      </c>
      <c r="C201" s="40"/>
      <c r="D201" s="8">
        <f>MODE</f>
        <v>1</v>
      </c>
      <c r="E201" s="8"/>
      <c r="F201" s="8"/>
      <c r="G201" s="8"/>
      <c r="H201" s="8"/>
      <c r="I201" s="26"/>
    </row>
    <row r="202" spans="1:9" x14ac:dyDescent="0.2">
      <c r="A202" s="25" t="str">
        <f>"VOUT2 = "&amp;'Design PSR Flyback Converter'!E12&amp;"V"</f>
        <v>VOUT2 = 12V</v>
      </c>
      <c r="B202" s="8" t="str">
        <f>IF(MODE_TOP="DUAL", 'Design PSR Flyback Converter'!E12&amp;"V", "")</f>
        <v/>
      </c>
      <c r="C202" s="40"/>
      <c r="D202" s="78" t="b">
        <f>MODE=2</f>
        <v>0</v>
      </c>
      <c r="E202" s="8"/>
      <c r="F202" s="8"/>
      <c r="G202" s="8"/>
      <c r="H202" s="8"/>
      <c r="I202" s="26"/>
    </row>
    <row r="203" spans="1:9" x14ac:dyDescent="0.2">
      <c r="A203" s="25" t="str">
        <f>"VOUT2 = "&amp;'Design PSR Flyback Converter'!E12&amp;"V"</f>
        <v>VOUT2 = 12V</v>
      </c>
      <c r="B203" s="8" t="str">
        <f>IF(MODE_TOP="BIPOLAR", 'Design PSR Flyback Converter'!E12&amp;"V", "")</f>
        <v/>
      </c>
      <c r="C203" s="40"/>
      <c r="D203" s="8"/>
      <c r="E203" s="8"/>
      <c r="F203" s="8"/>
      <c r="G203" s="8"/>
      <c r="H203" s="8"/>
      <c r="I203" s="26"/>
    </row>
    <row r="204" spans="1:9" x14ac:dyDescent="0.2">
      <c r="A204" s="25"/>
      <c r="B204" s="8"/>
      <c r="C204" s="40"/>
      <c r="D204" s="8"/>
      <c r="E204" s="8"/>
      <c r="F204" s="8"/>
      <c r="G204" s="8"/>
      <c r="H204" s="8"/>
      <c r="I204" s="26"/>
    </row>
    <row r="205" spans="1:9" x14ac:dyDescent="0.2">
      <c r="A205" s="401" t="s">
        <v>523</v>
      </c>
      <c r="B205" s="78" t="str">
        <f>IF(MODE=1, "", "Co1")</f>
        <v/>
      </c>
      <c r="C205" s="78" t="str">
        <f>IF(MODE_TOP="DUAL", "Co2", "")</f>
        <v/>
      </c>
      <c r="D205" s="78" t="str">
        <f>IF(MODE_TOP="BIPOLAR", "Co2", "")</f>
        <v/>
      </c>
      <c r="E205" s="8"/>
      <c r="F205" s="78" t="str">
        <f>MODE_TOP</f>
        <v>SINGLE</v>
      </c>
      <c r="G205" s="8"/>
      <c r="H205" s="8"/>
      <c r="I205" s="26"/>
    </row>
    <row r="206" spans="1:9" x14ac:dyDescent="0.2">
      <c r="A206" s="25" t="str">
        <f>"COUT = "&amp;'Design PSR Flyback Converter'!$E$21&amp;"µF"</f>
        <v>COUT = 47µF</v>
      </c>
      <c r="B206" s="8" t="str">
        <f>'Design PSR Flyback Converter'!$E$21&amp;"µF"</f>
        <v>47µF</v>
      </c>
      <c r="C206" s="8" t="str">
        <f>IF(MODE_TOP="DUAL", 'Design PSR Flyback Converter'!$L$21&amp;"µF", "")</f>
        <v/>
      </c>
      <c r="D206" s="8" t="str">
        <f>IF(MODE_TOP="BIPOLAR", 'Design PSR Flyback Converter'!$L$21&amp;"µF", "")</f>
        <v/>
      </c>
      <c r="E206" s="8"/>
      <c r="F206" s="8" t="str">
        <f>'Design PSR Flyback Converter'!$L$21&amp;"µF"</f>
        <v>47µF</v>
      </c>
      <c r="G206" s="8"/>
      <c r="H206" s="8"/>
      <c r="I206" s="26"/>
    </row>
    <row r="207" spans="1:9" x14ac:dyDescent="0.2">
      <c r="A207" s="111" t="s">
        <v>134</v>
      </c>
      <c r="B207" s="8" t="str">
        <f>"22µF"</f>
        <v>22µF</v>
      </c>
      <c r="C207" s="40"/>
      <c r="D207" s="8"/>
      <c r="E207" s="8"/>
      <c r="F207" s="8"/>
      <c r="G207" s="8"/>
      <c r="H207" s="8"/>
      <c r="I207" s="26"/>
    </row>
    <row r="208" spans="1:9" x14ac:dyDescent="0.2">
      <c r="A208" s="111" t="s">
        <v>135</v>
      </c>
      <c r="B208" s="79" t="str">
        <f>ROUNDUP(Cout/22,0)&amp;" x"</f>
        <v>3 x</v>
      </c>
      <c r="C208" s="165"/>
      <c r="D208" s="8"/>
      <c r="E208" s="8"/>
      <c r="F208" s="8"/>
      <c r="G208" s="8"/>
      <c r="H208" s="8"/>
      <c r="I208" s="26"/>
    </row>
    <row r="209" spans="1:9" x14ac:dyDescent="0.2">
      <c r="A209" s="111"/>
      <c r="B209" s="79">
        <f>Cout</f>
        <v>47</v>
      </c>
      <c r="C209" s="165"/>
      <c r="D209" s="8"/>
      <c r="E209" s="8"/>
      <c r="F209" s="8"/>
      <c r="G209" s="8"/>
      <c r="H209" s="8"/>
      <c r="I209" s="26"/>
    </row>
    <row r="210" spans="1:9" x14ac:dyDescent="0.2">
      <c r="A210" s="401" t="s">
        <v>524</v>
      </c>
      <c r="B210" s="8"/>
      <c r="C210" s="40"/>
      <c r="D210" s="8"/>
      <c r="E210" s="8"/>
      <c r="F210" s="8"/>
      <c r="G210" s="8"/>
      <c r="H210" s="8"/>
      <c r="I210" s="26"/>
    </row>
    <row r="211" spans="1:9" x14ac:dyDescent="0.2">
      <c r="A211" s="25" t="s">
        <v>95</v>
      </c>
      <c r="B211" s="8" t="str">
        <f>Cin&amp;"µF"</f>
        <v>10µF</v>
      </c>
      <c r="E211" s="8"/>
      <c r="F211" s="8"/>
      <c r="G211" s="8"/>
      <c r="H211" s="8"/>
      <c r="I211" s="26"/>
    </row>
    <row r="212" spans="1:9" x14ac:dyDescent="0.2">
      <c r="A212" s="111" t="s">
        <v>133</v>
      </c>
      <c r="B212" s="8" t="str">
        <f>"4.7µF"</f>
        <v>4.7µF</v>
      </c>
      <c r="C212" s="40"/>
      <c r="D212" s="8"/>
      <c r="E212" s="8"/>
      <c r="F212" s="8"/>
      <c r="G212" s="8"/>
      <c r="H212" s="8"/>
      <c r="I212" s="26"/>
    </row>
    <row r="213" spans="1:9" x14ac:dyDescent="0.2">
      <c r="A213" s="111" t="s">
        <v>132</v>
      </c>
      <c r="B213" s="79" t="str">
        <f>ROUNDUP(Cin/4.7,0)&amp;" x"</f>
        <v>3 x</v>
      </c>
      <c r="C213" s="165"/>
      <c r="D213" s="8"/>
      <c r="E213" s="8"/>
      <c r="F213" s="8"/>
      <c r="G213" s="8"/>
      <c r="H213" s="8"/>
      <c r="I213" s="26"/>
    </row>
    <row r="214" spans="1:9" x14ac:dyDescent="0.2">
      <c r="A214" s="111"/>
      <c r="B214" s="79"/>
      <c r="D214" s="8"/>
      <c r="E214" s="8"/>
      <c r="F214" s="8"/>
      <c r="G214" s="8"/>
      <c r="H214" s="8"/>
      <c r="I214" s="26"/>
    </row>
    <row r="215" spans="1:9" ht="15.75" x14ac:dyDescent="0.3">
      <c r="A215" s="111" t="s">
        <v>525</v>
      </c>
      <c r="B215" s="594" t="s">
        <v>526</v>
      </c>
      <c r="C215" s="594" t="s">
        <v>567</v>
      </c>
      <c r="D215" s="8"/>
      <c r="E215" s="8"/>
      <c r="F215" s="8"/>
      <c r="G215" s="8"/>
      <c r="H215" s="8"/>
      <c r="I215" s="26"/>
    </row>
    <row r="216" spans="1:9" x14ac:dyDescent="0.2">
      <c r="A216" s="111"/>
      <c r="B216" s="79"/>
      <c r="D216" s="8"/>
      <c r="E216" s="8"/>
      <c r="F216" s="8"/>
      <c r="G216" s="8"/>
      <c r="H216" s="8"/>
      <c r="I216" s="26"/>
    </row>
    <row r="217" spans="1:9" x14ac:dyDescent="0.2">
      <c r="A217" s="401" t="s">
        <v>394</v>
      </c>
      <c r="B217" s="165" t="str">
        <f>IF(MODE_TC=1, "YES", "NO")</f>
        <v>YES</v>
      </c>
      <c r="D217" s="8"/>
      <c r="E217" s="8"/>
      <c r="F217" s="8"/>
      <c r="G217" s="8"/>
      <c r="H217" s="8"/>
      <c r="I217" s="26"/>
    </row>
    <row r="218" spans="1:9" x14ac:dyDescent="0.2">
      <c r="A218" s="111" t="s">
        <v>301</v>
      </c>
      <c r="B218" s="165" t="str">
        <f>IF(MODE_TC=2, "YES", "NO")</f>
        <v>NO</v>
      </c>
      <c r="C218" s="391" t="str">
        <f>IF(MODE_TC=2, "R1", "")</f>
        <v/>
      </c>
      <c r="D218" s="391" t="str">
        <f>IF(MODE_TC=2, "R2", "")</f>
        <v/>
      </c>
      <c r="E218" s="391"/>
      <c r="F218" s="8"/>
      <c r="G218" s="8"/>
      <c r="H218" s="8"/>
      <c r="I218" s="26"/>
    </row>
    <row r="219" spans="1:9" x14ac:dyDescent="0.2">
      <c r="A219" s="25" t="str">
        <f>"RFB = "&amp;'Design PSR Flyback Converter'!E26&amp;"kΩ"</f>
        <v>RFB = 122.5kΩ</v>
      </c>
      <c r="B219" s="8" t="str">
        <f>IF(MODE_TC=1, "", 'Design PSR Flyback Converter'!E26&amp;"kΩ")</f>
        <v/>
      </c>
      <c r="C219" s="78" t="str">
        <f>'Design PSR Flyback Converter'!E26&amp;"kΩ"</f>
        <v>122.5kΩ</v>
      </c>
      <c r="D219" s="8"/>
      <c r="E219" s="8"/>
      <c r="F219" s="8"/>
      <c r="G219" s="8"/>
      <c r="H219" s="8"/>
      <c r="I219" s="26"/>
    </row>
    <row r="220" spans="1:9" x14ac:dyDescent="0.2">
      <c r="A220" s="25" t="str">
        <f>"RFB2 = "&amp;IF(Vout=Vref,"OPEN",'Design PSR Flyback Converter'!E27&amp;"kΩ")</f>
        <v>RFB2 = 121kΩ</v>
      </c>
      <c r="B220" s="8" t="str">
        <f>IF(MODE_TC=1, "", IF(Vout=Vref,"OPEN",Rfb2_u/1000&amp;"kΩ"))</f>
        <v/>
      </c>
      <c r="C220" s="78" t="str">
        <f>'Design PSR Flyback Converter'!E27&amp;"kΩ"</f>
        <v>121kΩ</v>
      </c>
      <c r="D220" s="8"/>
      <c r="E220" s="8"/>
      <c r="F220" s="8"/>
      <c r="G220" s="8"/>
      <c r="H220" s="8"/>
      <c r="I220" s="26"/>
    </row>
    <row r="221" spans="1:9" x14ac:dyDescent="0.2">
      <c r="A221" s="25"/>
      <c r="B221" s="8"/>
      <c r="C221" s="78"/>
      <c r="D221" s="8"/>
      <c r="E221" s="8"/>
      <c r="F221" s="8"/>
      <c r="G221" s="8"/>
      <c r="H221" s="8"/>
      <c r="I221" s="26"/>
    </row>
    <row r="222" spans="1:9" x14ac:dyDescent="0.2">
      <c r="A222" s="111" t="s">
        <v>305</v>
      </c>
      <c r="B222" s="40" t="str">
        <f>IF(MODE=1, "YES", "NO")</f>
        <v>YES</v>
      </c>
      <c r="C222" s="8" t="str">
        <f>IF(MODE=1,"Rt", "")</f>
        <v>Rt</v>
      </c>
      <c r="D222" s="8"/>
      <c r="E222" s="8"/>
      <c r="F222" s="8"/>
      <c r="G222" s="8"/>
      <c r="H222" s="8"/>
      <c r="I222" s="26"/>
    </row>
    <row r="223" spans="1:9" x14ac:dyDescent="0.2">
      <c r="A223" s="111" t="s">
        <v>139</v>
      </c>
      <c r="B223" s="8" t="e">
        <f>IF(MODE=2, "", 'Standard Value Calculator'!J4/1000&amp;"kΩ")</f>
        <v>#NAME?</v>
      </c>
      <c r="C223" s="40"/>
      <c r="D223" s="8"/>
      <c r="E223" s="8"/>
      <c r="F223" s="8"/>
      <c r="G223" s="8"/>
      <c r="H223" s="8"/>
      <c r="I223" s="26"/>
    </row>
    <row r="224" spans="1:9" x14ac:dyDescent="0.2">
      <c r="A224" s="111"/>
      <c r="B224" s="8"/>
      <c r="C224" s="40"/>
      <c r="D224" s="8"/>
      <c r="E224" s="8"/>
      <c r="F224" s="8"/>
      <c r="G224" s="8"/>
      <c r="H224" s="8"/>
      <c r="I224" s="26"/>
    </row>
    <row r="225" spans="1:9" x14ac:dyDescent="0.2">
      <c r="A225" s="401" t="s">
        <v>384</v>
      </c>
      <c r="B225" s="165" t="str">
        <f>IF(MODE=1, "YES", "NO")</f>
        <v>YES</v>
      </c>
      <c r="C225" s="78" t="str">
        <f>IF(TC=1,"Rtc", "")</f>
        <v>Rtc</v>
      </c>
      <c r="D225" s="8"/>
      <c r="E225" s="8"/>
      <c r="F225" s="8"/>
      <c r="G225" s="8"/>
      <c r="H225" s="8"/>
      <c r="I225" s="26"/>
    </row>
    <row r="226" spans="1:9" x14ac:dyDescent="0.2">
      <c r="A226" s="536" t="str">
        <f>"RTC = "&amp;RTC&amp;"kΩ"</f>
        <v>RTC = 243kΩ</v>
      </c>
      <c r="B226" s="8" t="str">
        <f>IF(TC=1, RTC&amp;"kΩ", "")</f>
        <v>243kΩ</v>
      </c>
      <c r="C226" s="78" t="str">
        <f>CHOOSE(TC,"Rtc","")</f>
        <v>Rtc</v>
      </c>
      <c r="D226" s="8"/>
      <c r="E226" s="8"/>
      <c r="F226" s="9"/>
      <c r="G226" s="8"/>
      <c r="H226" s="8"/>
      <c r="I226" s="26"/>
    </row>
    <row r="227" spans="1:9" x14ac:dyDescent="0.2">
      <c r="A227" s="111" t="s">
        <v>387</v>
      </c>
      <c r="B227" s="372"/>
      <c r="C227" s="8"/>
      <c r="D227" s="8"/>
      <c r="E227" s="8"/>
      <c r="F227" s="9"/>
      <c r="G227" s="8"/>
      <c r="H227" s="8"/>
      <c r="I227" s="26"/>
    </row>
    <row r="228" spans="1:9" x14ac:dyDescent="0.2">
      <c r="A228" s="25"/>
      <c r="B228" s="79"/>
      <c r="C228" s="165"/>
      <c r="D228" s="8"/>
      <c r="E228" s="114"/>
      <c r="F228" s="8"/>
      <c r="G228" s="8"/>
      <c r="H228" s="8"/>
      <c r="I228" s="26"/>
    </row>
    <row r="229" spans="1:9" x14ac:dyDescent="0.2">
      <c r="A229" s="401" t="s">
        <v>309</v>
      </c>
      <c r="B229" s="165" t="str">
        <f>IF(MODE_UVLO=1, "YES", "NO")</f>
        <v>YES</v>
      </c>
      <c r="C229" s="391" t="str">
        <f>IF(MODE_UVLO=1, "Ruv1", "")</f>
        <v>Ruv1</v>
      </c>
      <c r="D229" s="391" t="str">
        <f>IF(MODE_UVLO=1, "Ruv2", "")</f>
        <v>Ruv2</v>
      </c>
      <c r="E229" s="391"/>
      <c r="F229" s="391" t="s">
        <v>6</v>
      </c>
      <c r="G229" s="391" t="s">
        <v>33</v>
      </c>
      <c r="H229" s="78" t="s">
        <v>343</v>
      </c>
      <c r="I229" s="26"/>
    </row>
    <row r="230" spans="1:9" x14ac:dyDescent="0.2">
      <c r="A230" s="25" t="str">
        <f>"RUV1 = "&amp;C230</f>
        <v>RUV1 = 261kΩ</v>
      </c>
      <c r="B230" s="8" t="str">
        <f>'Design PSR Flyback Converter'!E37&amp;" kΩ"</f>
        <v>261 kΩ</v>
      </c>
      <c r="C230" s="391" t="str">
        <f>IF(MODE_UVLO=1,'Design PSR Flyback Converter'!E37&amp;"kΩ", "")</f>
        <v>261kΩ</v>
      </c>
      <c r="F230" s="8">
        <f>IF(MODE_UVLO=1,'Design PSR Flyback Converter'!E37, "")</f>
        <v>261</v>
      </c>
      <c r="G230" s="78" t="str">
        <f>IF(MODE_UVLO=1,"kΩ", "")</f>
        <v>kΩ</v>
      </c>
      <c r="H230" s="391" t="str">
        <f>IF(MODE_UVLO=1,'Design PSR Flyback Converter'!E37&amp;"k", "")</f>
        <v>261k</v>
      </c>
      <c r="I230" s="26"/>
    </row>
    <row r="231" spans="1:9" x14ac:dyDescent="0.2">
      <c r="A231" s="25" t="str">
        <f>"RUV2 = "&amp;C231</f>
        <v>RUV2 = 86.6kΩ</v>
      </c>
      <c r="B231" s="8" t="str">
        <f>IF(D143&gt;=1000, D143/1000&amp;" MΩ", D143&amp;" kΩ")</f>
        <v>86.6 kΩ</v>
      </c>
      <c r="C231" s="391" t="str">
        <f>IF(MODE_UVLO=1, IF(D143&lt;1, D143*1000&amp;"Ω", IF(D143&lt;1000, D143&amp;"kΩ", D143/1000&amp;"MΩ")), "")</f>
        <v>86.6kΩ</v>
      </c>
      <c r="F231" s="8">
        <f>IF(MODE_UVLO=1, IF(D143&lt;1, D143*1000, IF(D143&lt;1000, D143, D143/1000)), "")</f>
        <v>86.600000000000009</v>
      </c>
      <c r="G231" s="78" t="str">
        <f>IF(MODE_UVLO=1, IF(D143&lt;1, "Ω", IF(D143&lt;1000,"kΩ", "MΩ")), "")</f>
        <v>kΩ</v>
      </c>
      <c r="H231" s="391" t="str">
        <f>IF(MODE_UVLO=1, IF(D143&lt;1, D143*1000, IF(D143&lt;1000, D143&amp;"k", D143/1000&amp;"M")), "")</f>
        <v>86.6k</v>
      </c>
      <c r="I231" s="26"/>
    </row>
    <row r="232" spans="1:9" x14ac:dyDescent="0.2">
      <c r="A232" s="25"/>
      <c r="B232" s="8"/>
      <c r="C232" s="391"/>
      <c r="F232" s="8"/>
      <c r="G232" s="78"/>
      <c r="H232" s="391"/>
      <c r="I232" s="26"/>
    </row>
    <row r="233" spans="1:9" x14ac:dyDescent="0.2">
      <c r="A233" s="401" t="s">
        <v>388</v>
      </c>
      <c r="B233" s="8"/>
      <c r="C233" s="391"/>
      <c r="F233" s="8"/>
      <c r="G233" s="78"/>
      <c r="H233" s="391"/>
      <c r="I233" s="26"/>
    </row>
    <row r="234" spans="1:9" x14ac:dyDescent="0.2">
      <c r="A234" s="25" t="str">
        <f>"RSET = "&amp;C234</f>
        <v>RSET = 12.1kΩ</v>
      </c>
      <c r="B234" s="78" t="s">
        <v>383</v>
      </c>
      <c r="C234" s="78" t="s">
        <v>547</v>
      </c>
      <c r="F234" s="8">
        <f>IF(MODE_UVLO=1, IF(D144&lt;1, D144*1000, IF(D144&lt;1000, D144, D144/1000)), "")</f>
        <v>0</v>
      </c>
      <c r="G234" s="78" t="str">
        <f>IF(MODE_UVLO=1, IF(D144&lt;1, "Ω", IF(D144&lt;1000,"kΩ", "MΩ")), "")</f>
        <v>Ω</v>
      </c>
      <c r="H234" s="391">
        <f>IF(MODE_UVLO=1, IF(D144&lt;1, D144*1000, IF(D144&lt;1000, D144&amp;"k", D144&amp;"M")), "")</f>
        <v>0</v>
      </c>
      <c r="I234" s="26"/>
    </row>
    <row r="235" spans="1:9" x14ac:dyDescent="0.2">
      <c r="A235" s="25"/>
      <c r="B235" s="78"/>
      <c r="C235" s="78"/>
      <c r="F235" s="8"/>
      <c r="G235" s="78"/>
      <c r="H235" s="391"/>
      <c r="I235" s="26"/>
    </row>
    <row r="236" spans="1:9" x14ac:dyDescent="0.2">
      <c r="A236" s="401" t="s">
        <v>389</v>
      </c>
      <c r="B236" s="79"/>
      <c r="C236" s="165"/>
      <c r="D236" s="8"/>
      <c r="E236" s="114"/>
      <c r="F236" s="8"/>
      <c r="G236" s="8"/>
      <c r="H236" s="8"/>
      <c r="I236" s="26"/>
    </row>
    <row r="237" spans="1:9" x14ac:dyDescent="0.2">
      <c r="A237" s="25" t="str">
        <f>"Css = "&amp;Css*1000000000&amp;"nF"</f>
        <v>Css = 45nF</v>
      </c>
      <c r="B237" s="8" t="str">
        <f>Css*1000000000&amp;"nF"</f>
        <v>45nF</v>
      </c>
      <c r="D237" s="8"/>
      <c r="E237" s="8"/>
      <c r="F237" s="8"/>
      <c r="G237" s="8"/>
      <c r="H237" s="8"/>
      <c r="I237" s="26"/>
    </row>
    <row r="238" spans="1:9" x14ac:dyDescent="0.2">
      <c r="A238" s="25" t="s">
        <v>66</v>
      </c>
      <c r="B238" s="8" t="str">
        <f>CHOOSE(MODE_SS,'Standard Value Calculator'!B4*1000000000&amp;"nF","")</f>
        <v>47nF</v>
      </c>
      <c r="C238" s="8" t="str">
        <f>CHOOSE(MODE_SS,"Css","")</f>
        <v>Css</v>
      </c>
      <c r="D238" s="402" t="str">
        <f>B238</f>
        <v>47nF</v>
      </c>
      <c r="E238" s="8"/>
      <c r="F238" s="8"/>
      <c r="G238" s="8"/>
      <c r="H238" s="8"/>
      <c r="I238" s="26"/>
    </row>
    <row r="239" spans="1:9" x14ac:dyDescent="0.2">
      <c r="A239" s="25"/>
      <c r="B239" s="8"/>
      <c r="C239" s="78" t="str">
        <f>C238</f>
        <v>Css</v>
      </c>
      <c r="D239" s="40"/>
      <c r="E239" s="8"/>
      <c r="F239" s="8"/>
      <c r="G239" s="8"/>
      <c r="H239" s="8"/>
      <c r="I239" s="26"/>
    </row>
    <row r="240" spans="1:9" x14ac:dyDescent="0.2">
      <c r="A240" s="25"/>
      <c r="B240" s="8"/>
      <c r="C240" s="78"/>
      <c r="D240" s="40"/>
      <c r="E240" s="8"/>
      <c r="F240" s="8"/>
      <c r="G240" s="8"/>
      <c r="H240" s="8"/>
      <c r="I240" s="26"/>
    </row>
    <row r="241" spans="1:9" x14ac:dyDescent="0.2">
      <c r="A241" s="111" t="s">
        <v>658</v>
      </c>
      <c r="B241" s="78">
        <f>ROUND(Iout*2,1)</f>
        <v>1.6</v>
      </c>
      <c r="C241" s="78" t="s">
        <v>1</v>
      </c>
      <c r="D241" s="8"/>
      <c r="E241" s="8"/>
      <c r="F241" s="8"/>
      <c r="G241" s="8"/>
      <c r="H241" s="8"/>
      <c r="I241" s="26"/>
    </row>
    <row r="242" spans="1:9" x14ac:dyDescent="0.2">
      <c r="A242" s="111" t="s">
        <v>659</v>
      </c>
      <c r="B242">
        <f>ROUND(VRRM_DIODE,0)</f>
        <v>54</v>
      </c>
      <c r="C242" s="78" t="s">
        <v>0</v>
      </c>
      <c r="D242" s="8"/>
      <c r="E242" s="8"/>
      <c r="F242" s="8"/>
      <c r="G242" s="8"/>
      <c r="H242" s="8"/>
      <c r="I242" s="26"/>
    </row>
    <row r="243" spans="1:9" x14ac:dyDescent="0.2">
      <c r="F243" s="8"/>
      <c r="G243" s="8"/>
      <c r="H243" s="8"/>
      <c r="I243" s="26"/>
    </row>
    <row r="244" spans="1:9" x14ac:dyDescent="0.2">
      <c r="A244" s="111"/>
      <c r="B244" s="372"/>
      <c r="C244" s="8"/>
      <c r="D244" s="8"/>
      <c r="E244" s="8"/>
      <c r="F244" s="8"/>
      <c r="G244" s="8"/>
      <c r="H244" s="8"/>
      <c r="I244" s="26"/>
    </row>
    <row r="245" spans="1:9" x14ac:dyDescent="0.2">
      <c r="A245" s="111" t="s">
        <v>129</v>
      </c>
      <c r="B245" s="78" t="s">
        <v>314</v>
      </c>
      <c r="C245" s="8"/>
      <c r="D245" s="8"/>
      <c r="E245" s="8"/>
      <c r="F245" s="8"/>
      <c r="G245" s="8"/>
      <c r="H245" s="8"/>
      <c r="I245" s="26"/>
    </row>
    <row r="246" spans="1:9" x14ac:dyDescent="0.2">
      <c r="A246" s="111"/>
      <c r="B246" s="78"/>
      <c r="C246" s="8"/>
      <c r="D246" s="8"/>
      <c r="E246" s="8"/>
      <c r="F246" s="8"/>
      <c r="G246" s="8"/>
      <c r="H246" s="8"/>
      <c r="I246" s="26"/>
    </row>
    <row r="247" spans="1:9" x14ac:dyDescent="0.2">
      <c r="A247" s="111" t="s">
        <v>184</v>
      </c>
      <c r="B247" s="358" t="str">
        <f>CHOOSE(MODE, ROUND('Calculations - Single'!$CA$105,1)&amp;"%", ROUND('Calculations - Dual'!CB105,1)&amp;"%")</f>
        <v>91.3%</v>
      </c>
      <c r="C247" s="8"/>
      <c r="D247" s="8"/>
      <c r="E247" s="8"/>
      <c r="F247" s="8"/>
      <c r="G247" s="8"/>
      <c r="H247" s="8"/>
      <c r="I247" s="26"/>
    </row>
    <row r="248" spans="1:9" x14ac:dyDescent="0.2">
      <c r="A248" s="111" t="s">
        <v>504</v>
      </c>
      <c r="B248" s="358" t="str">
        <f>ROUND('Calculations - Single'!$CA$55,1)&amp;"%"</f>
        <v>90.7%</v>
      </c>
      <c r="C248" s="8"/>
      <c r="D248" s="8"/>
      <c r="E248" s="8"/>
      <c r="F248" s="8"/>
      <c r="G248" s="8"/>
      <c r="H248" s="8"/>
      <c r="I248" s="26"/>
    </row>
    <row r="249" spans="1:9" x14ac:dyDescent="0.2">
      <c r="A249" s="111" t="s">
        <v>311</v>
      </c>
      <c r="B249" s="358" t="str">
        <f>ROUND('Calculations - Single'!$CA$15,1)&amp;"%"</f>
        <v>84.6%</v>
      </c>
      <c r="C249" s="78" t="s">
        <v>316</v>
      </c>
      <c r="D249" s="8"/>
      <c r="E249" s="8"/>
      <c r="F249" s="8"/>
      <c r="G249" s="8"/>
      <c r="H249" s="8"/>
      <c r="I249" s="26"/>
    </row>
    <row r="250" spans="1:9" x14ac:dyDescent="0.2">
      <c r="A250" s="111" t="s">
        <v>315</v>
      </c>
      <c r="B250" s="358" t="str">
        <f>ROUND(Parameters!BZ56,1)&amp;"%"</f>
        <v>0%</v>
      </c>
      <c r="C250" s="78" t="s">
        <v>317</v>
      </c>
      <c r="D250" s="8"/>
      <c r="E250" s="8"/>
      <c r="F250" s="8"/>
      <c r="G250" s="8"/>
      <c r="H250" s="8"/>
      <c r="I250" s="26"/>
    </row>
    <row r="251" spans="1:9" x14ac:dyDescent="0.2">
      <c r="A251" s="25"/>
      <c r="B251" s="8"/>
      <c r="C251" s="40"/>
      <c r="D251" s="8"/>
      <c r="E251" s="8"/>
      <c r="F251" s="8"/>
      <c r="G251" s="8"/>
      <c r="H251" s="8"/>
      <c r="I251" s="26"/>
    </row>
    <row r="252" spans="1:9" x14ac:dyDescent="0.2">
      <c r="A252" s="25"/>
      <c r="B252" s="8"/>
      <c r="C252" s="40"/>
      <c r="D252" s="8"/>
      <c r="E252" s="8"/>
      <c r="F252" s="8"/>
      <c r="G252" s="8"/>
      <c r="H252" s="8"/>
      <c r="I252" s="26"/>
    </row>
    <row r="253" spans="1:9" x14ac:dyDescent="0.2">
      <c r="A253" s="25"/>
      <c r="B253" s="8"/>
      <c r="C253" s="40"/>
      <c r="D253" s="8"/>
      <c r="E253" s="8"/>
      <c r="F253" s="8"/>
      <c r="G253" s="8"/>
      <c r="H253" s="8"/>
      <c r="I253" s="26"/>
    </row>
    <row r="254" spans="1:9" x14ac:dyDescent="0.2">
      <c r="A254" s="25" t="s">
        <v>80</v>
      </c>
      <c r="B254" s="8" t="str">
        <f>IF(C254="y","","|")</f>
        <v>|</v>
      </c>
      <c r="C254" s="40" t="s">
        <v>323</v>
      </c>
      <c r="D254" s="8"/>
      <c r="E254" s="8"/>
      <c r="F254" s="8"/>
      <c r="G254" s="8"/>
      <c r="H254" s="8"/>
      <c r="I254" s="26"/>
    </row>
    <row r="255" spans="1:9" x14ac:dyDescent="0.2">
      <c r="A255" s="25"/>
      <c r="B255" s="8"/>
      <c r="C255" s="40"/>
      <c r="D255" s="8"/>
      <c r="E255" s="8"/>
      <c r="F255" s="8"/>
      <c r="G255" s="8"/>
      <c r="H255" s="8"/>
      <c r="I255" s="26"/>
    </row>
    <row r="256" spans="1:9" x14ac:dyDescent="0.2">
      <c r="A256" s="508" t="s">
        <v>86</v>
      </c>
      <c r="B256" s="8" t="str">
        <f>'Design PSR Flyback Converter'!$E$11&amp;"A"</f>
        <v>0.8A</v>
      </c>
      <c r="C256" s="40"/>
      <c r="D256" s="8"/>
      <c r="E256" s="8"/>
      <c r="F256" s="8"/>
      <c r="G256" s="8"/>
      <c r="H256" s="8"/>
      <c r="I256" s="26"/>
    </row>
    <row r="257" spans="1:9" x14ac:dyDescent="0.2">
      <c r="A257" s="508" t="s">
        <v>522</v>
      </c>
      <c r="B257" s="8" t="str">
        <f>IF(MODE_TOP="DUAL", 'Design PSR Flyback Converter'!$E$13&amp;"A", "")</f>
        <v/>
      </c>
      <c r="C257" s="40"/>
      <c r="D257" s="78">
        <f>MODE</f>
        <v>1</v>
      </c>
      <c r="E257" s="8"/>
      <c r="F257" s="8"/>
      <c r="G257" s="8"/>
      <c r="H257" s="8"/>
      <c r="I257" s="26"/>
    </row>
    <row r="258" spans="1:9" x14ac:dyDescent="0.2">
      <c r="A258" s="508" t="s">
        <v>521</v>
      </c>
      <c r="B258" s="8" t="str">
        <f>IF(MODE_TOP="BIPOLAR", Iout2_actual&amp;"A", "")</f>
        <v/>
      </c>
      <c r="C258" s="40"/>
      <c r="D258" s="8"/>
      <c r="E258" s="8"/>
      <c r="F258" s="8"/>
      <c r="G258" s="8"/>
      <c r="H258" s="8"/>
      <c r="I258" s="26"/>
    </row>
    <row r="259" spans="1:9" x14ac:dyDescent="0.2">
      <c r="A259" s="25"/>
      <c r="B259" s="8"/>
      <c r="C259" s="40"/>
      <c r="D259" s="8"/>
      <c r="E259" s="8"/>
      <c r="F259" s="8"/>
      <c r="G259" s="8"/>
      <c r="H259" s="8"/>
      <c r="I259" s="26"/>
    </row>
    <row r="260" spans="1:9" x14ac:dyDescent="0.2">
      <c r="A260" s="111" t="s">
        <v>94</v>
      </c>
      <c r="B260" s="8">
        <v>1</v>
      </c>
      <c r="C260" s="40"/>
      <c r="D260" s="8"/>
      <c r="E260" s="8"/>
      <c r="F260" s="8"/>
      <c r="G260" s="8"/>
      <c r="H260" s="8"/>
      <c r="I260" s="26"/>
    </row>
    <row r="261" spans="1:9" x14ac:dyDescent="0.2">
      <c r="A261" s="111" t="s">
        <v>93</v>
      </c>
      <c r="B261" s="8">
        <v>2</v>
      </c>
      <c r="C261" s="40"/>
      <c r="D261" s="8"/>
      <c r="E261" s="8"/>
      <c r="F261" s="8"/>
      <c r="G261" s="8"/>
      <c r="H261" s="8"/>
      <c r="I261" s="26"/>
    </row>
    <row r="262" spans="1:9" x14ac:dyDescent="0.2">
      <c r="A262" s="609" t="s">
        <v>57</v>
      </c>
      <c r="B262" s="8">
        <v>3</v>
      </c>
      <c r="C262" s="40"/>
      <c r="D262" s="8"/>
      <c r="E262" s="8"/>
      <c r="F262" s="8"/>
      <c r="G262" s="8"/>
      <c r="H262" s="8"/>
      <c r="I262" s="26"/>
    </row>
    <row r="263" spans="1:9" x14ac:dyDescent="0.2">
      <c r="A263" s="111" t="s">
        <v>568</v>
      </c>
      <c r="B263" s="8">
        <v>4</v>
      </c>
      <c r="C263" s="40"/>
      <c r="D263" s="8"/>
      <c r="E263" s="8"/>
      <c r="F263" s="8"/>
      <c r="G263" s="8"/>
      <c r="H263" s="8"/>
      <c r="I263" s="26"/>
    </row>
    <row r="264" spans="1:9" x14ac:dyDescent="0.2">
      <c r="A264" s="111" t="s">
        <v>569</v>
      </c>
      <c r="B264" s="8">
        <v>5</v>
      </c>
      <c r="C264" s="40"/>
      <c r="D264" s="8"/>
      <c r="E264" s="8"/>
      <c r="F264" s="8"/>
      <c r="G264" s="8"/>
      <c r="H264" s="8"/>
      <c r="I264" s="26"/>
    </row>
    <row r="265" spans="1:9" x14ac:dyDescent="0.2">
      <c r="A265" s="111" t="s">
        <v>570</v>
      </c>
      <c r="B265" s="8">
        <v>6</v>
      </c>
      <c r="C265" s="40"/>
      <c r="D265" s="8"/>
      <c r="E265" s="8"/>
      <c r="F265" s="8"/>
      <c r="G265" s="8"/>
      <c r="H265" s="8"/>
      <c r="I265" s="26"/>
    </row>
    <row r="266" spans="1:9" x14ac:dyDescent="0.2">
      <c r="A266" s="111" t="s">
        <v>571</v>
      </c>
      <c r="B266" s="8">
        <v>7</v>
      </c>
      <c r="C266" s="40"/>
      <c r="D266" s="8"/>
      <c r="E266" s="8"/>
      <c r="F266" s="8"/>
      <c r="G266" s="8"/>
      <c r="H266" s="8"/>
      <c r="I266" s="26"/>
    </row>
    <row r="267" spans="1:9" x14ac:dyDescent="0.2">
      <c r="A267" s="609" t="s">
        <v>92</v>
      </c>
      <c r="B267" s="8">
        <v>8</v>
      </c>
      <c r="C267" s="40"/>
      <c r="D267" s="8"/>
      <c r="E267" s="8"/>
      <c r="F267" s="8"/>
      <c r="G267" s="8"/>
      <c r="H267" s="8"/>
      <c r="I267" s="26"/>
    </row>
    <row r="268" spans="1:9" ht="13.5" thickBot="1" x14ac:dyDescent="0.25">
      <c r="A268" s="212"/>
      <c r="B268" s="30"/>
      <c r="C268" s="164"/>
      <c r="D268" s="30"/>
      <c r="E268" s="30"/>
      <c r="F268" s="30"/>
      <c r="G268" s="30"/>
      <c r="H268" s="30"/>
      <c r="I268" s="31"/>
    </row>
  </sheetData>
  <sheetProtection selectLockedCells="1"/>
  <mergeCells count="2">
    <mergeCell ref="E5:H5"/>
    <mergeCell ref="A1:I1"/>
  </mergeCells>
  <phoneticPr fontId="6" type="noConversion"/>
  <pageMargins left="0.75" right="0.75" top="1" bottom="1" header="0.5" footer="0.5"/>
  <pageSetup orientation="portrait" r:id="rId1"/>
  <headerFooter alignWithMargins="0"/>
  <ignoredErrors>
    <ignoredError sqref="R56:R6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21921" r:id="rId4" name="Drop Down 1">
              <controlPr locked="0" defaultSize="0" autoLine="0" autoPict="0">
                <anchor moveWithCells="1">
                  <from>
                    <xdr:col>9</xdr:col>
                    <xdr:colOff>447675</xdr:colOff>
                    <xdr:row>6</xdr:row>
                    <xdr:rowOff>19050</xdr:rowOff>
                  </from>
                  <to>
                    <xdr:col>10</xdr:col>
                    <xdr:colOff>666750</xdr:colOff>
                    <xdr:row>7</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030A0"/>
  </sheetPr>
  <dimension ref="B1:CG322"/>
  <sheetViews>
    <sheetView zoomScaleNormal="100" workbookViewId="0">
      <pane xSplit="6" ySplit="4" topLeftCell="R74" activePane="bottomRight" state="frozen"/>
      <selection pane="topRight" activeCell="G1" sqref="G1"/>
      <selection pane="bottomLeft" activeCell="A5" sqref="A5"/>
      <selection pane="bottomRight" activeCell="BB1" sqref="BB1:BB1048576"/>
    </sheetView>
  </sheetViews>
  <sheetFormatPr defaultRowHeight="12.75" x14ac:dyDescent="0.2"/>
  <cols>
    <col min="1" max="1" width="2.85546875" customWidth="1"/>
    <col min="2" max="2" width="3.5703125" customWidth="1"/>
    <col min="3" max="3" width="2.85546875" customWidth="1"/>
    <col min="4" max="4" width="3.7109375" customWidth="1"/>
    <col min="5" max="5" width="6.140625" customWidth="1"/>
    <col min="6" max="6" width="8.7109375" customWidth="1"/>
    <col min="7" max="7" width="7.7109375" customWidth="1"/>
    <col min="8" max="8" width="7.85546875" customWidth="1"/>
    <col min="9" max="9" width="6.28515625" customWidth="1"/>
    <col min="10" max="10" width="9.5703125" customWidth="1"/>
    <col min="11" max="11" width="9.28515625" customWidth="1"/>
    <col min="12" max="12" width="1.85546875" customWidth="1"/>
    <col min="13" max="13" width="8.42578125" customWidth="1"/>
    <col min="14" max="15" width="9.5703125" customWidth="1"/>
    <col min="16" max="16" width="8.85546875" customWidth="1"/>
    <col min="17" max="18" width="8.5703125" customWidth="1"/>
    <col min="19" max="19" width="11.140625" customWidth="1"/>
    <col min="20" max="20" width="10.42578125" customWidth="1"/>
    <col min="21" max="21" width="7.5703125" customWidth="1"/>
    <col min="22" max="22" width="9" customWidth="1"/>
    <col min="23" max="23" width="8.85546875" customWidth="1"/>
    <col min="24" max="24" width="10" customWidth="1"/>
    <col min="25" max="25" width="9.5703125" customWidth="1"/>
    <col min="26" max="26" width="1.85546875" customWidth="1"/>
    <col min="27" max="27" width="9.85546875" customWidth="1"/>
    <col min="28" max="28" width="10.42578125" customWidth="1"/>
    <col min="29" max="29" width="10.140625" customWidth="1"/>
    <col min="30" max="30" width="2" customWidth="1"/>
    <col min="31" max="31" width="9.140625" customWidth="1"/>
    <col min="32" max="32" width="9.42578125" customWidth="1"/>
    <col min="33" max="33" width="10.42578125" customWidth="1"/>
    <col min="34" max="34" width="2.140625" customWidth="1"/>
    <col min="36" max="36" width="8" customWidth="1"/>
    <col min="38" max="38" width="2.28515625" customWidth="1"/>
    <col min="39" max="39" width="6.5703125" customWidth="1"/>
    <col min="40" max="40" width="7.5703125" customWidth="1"/>
    <col min="41" max="41" width="2" customWidth="1"/>
    <col min="42" max="42" width="6.42578125" customWidth="1"/>
    <col min="43" max="43" width="7.5703125" customWidth="1"/>
    <col min="44" max="44" width="2.140625" customWidth="1"/>
    <col min="45" max="48" width="7" customWidth="1"/>
    <col min="49" max="50" width="8.42578125" customWidth="1"/>
    <col min="51" max="52" width="11" customWidth="1"/>
    <col min="53" max="53" width="11.85546875" customWidth="1"/>
    <col min="54" max="54" width="10" customWidth="1"/>
    <col min="55" max="55" width="9.85546875" customWidth="1"/>
    <col min="56" max="56" width="10" customWidth="1"/>
    <col min="57" max="57" width="2" customWidth="1"/>
    <col min="60" max="60" width="2.140625" customWidth="1"/>
    <col min="61" max="61" width="9" customWidth="1"/>
    <col min="62" max="63" width="8.140625" customWidth="1"/>
    <col min="64" max="64" width="8.7109375" customWidth="1"/>
    <col min="65" max="66" width="7.5703125" customWidth="1"/>
    <col min="67" max="68" width="10.28515625" customWidth="1"/>
    <col min="69" max="70" width="10.5703125" customWidth="1"/>
    <col min="71" max="71" width="8.7109375" customWidth="1"/>
    <col min="73" max="73" width="9.85546875" customWidth="1"/>
    <col min="74" max="74" width="12.140625" customWidth="1"/>
    <col min="75" max="75" width="9.140625" customWidth="1"/>
    <col min="77" max="77" width="7.7109375" customWidth="1"/>
    <col min="78" max="78" width="10.42578125" customWidth="1"/>
    <col min="79" max="79" width="12.42578125" bestFit="1" customWidth="1"/>
    <col min="80" max="80" width="4.5703125" customWidth="1"/>
    <col min="81" max="81" width="5" customWidth="1"/>
    <col min="82" max="82" width="9.5703125" customWidth="1"/>
  </cols>
  <sheetData>
    <row r="1" spans="2:83" x14ac:dyDescent="0.2">
      <c r="B1" s="454" t="s">
        <v>528</v>
      </c>
      <c r="F1" s="17"/>
      <c r="M1">
        <f>Vfwd2</f>
        <v>0.4</v>
      </c>
      <c r="AY1">
        <f>L</f>
        <v>6.9999999999999999E-6</v>
      </c>
    </row>
    <row r="2" spans="2:83" ht="13.5" thickBot="1" x14ac:dyDescent="0.25">
      <c r="M2">
        <f>Vfwd1</f>
        <v>0.25</v>
      </c>
      <c r="P2">
        <f>Isw_max</f>
        <v>4.0999999999999996</v>
      </c>
      <c r="U2">
        <f>Isw_min</f>
        <v>0.82</v>
      </c>
      <c r="AY2">
        <f>Cout</f>
        <v>47</v>
      </c>
      <c r="BA2" s="705" t="s">
        <v>716</v>
      </c>
      <c r="BB2" s="705"/>
      <c r="BC2">
        <f>Vinripple1</f>
        <v>0.67500000000000004</v>
      </c>
    </row>
    <row r="3" spans="2:83" x14ac:dyDescent="0.2">
      <c r="E3" s="225" t="s">
        <v>432</v>
      </c>
      <c r="F3" s="555"/>
      <c r="G3" s="555"/>
      <c r="H3" s="555"/>
      <c r="I3" s="226"/>
      <c r="J3" s="227"/>
      <c r="K3" s="539"/>
      <c r="L3" s="539"/>
      <c r="M3" s="691" t="s">
        <v>190</v>
      </c>
      <c r="N3" s="692"/>
      <c r="O3" s="693"/>
      <c r="P3" s="691"/>
      <c r="Q3" s="691"/>
      <c r="R3" s="693"/>
      <c r="S3" s="693"/>
      <c r="T3" s="693"/>
      <c r="U3" s="691"/>
      <c r="V3" s="692"/>
      <c r="W3" s="692"/>
      <c r="X3" s="691"/>
      <c r="Y3" s="692"/>
      <c r="Z3" s="691"/>
      <c r="AA3" s="694"/>
      <c r="AB3" s="548"/>
      <c r="AC3" s="548"/>
      <c r="AD3" s="548"/>
      <c r="AE3" s="548"/>
      <c r="AF3" s="548"/>
      <c r="AG3" s="548"/>
      <c r="AH3" s="548"/>
      <c r="AI3" s="548"/>
      <c r="AJ3" s="548"/>
      <c r="AK3" s="548"/>
      <c r="AL3" s="548"/>
      <c r="AM3" s="548"/>
      <c r="AN3" s="548"/>
      <c r="AO3" s="548"/>
      <c r="AP3" s="548"/>
      <c r="AQ3" s="548"/>
      <c r="AR3" s="548"/>
      <c r="AS3" s="548" t="s">
        <v>471</v>
      </c>
      <c r="AT3" s="548"/>
      <c r="AU3" s="548"/>
      <c r="AV3" s="548"/>
      <c r="AW3" s="548"/>
      <c r="AX3" s="548"/>
      <c r="AY3" s="548"/>
      <c r="AZ3" s="548"/>
      <c r="BA3" s="548" t="s">
        <v>481</v>
      </c>
      <c r="BB3" s="548"/>
      <c r="BC3" s="548"/>
      <c r="BD3" s="548"/>
      <c r="BE3" s="548"/>
      <c r="BF3" s="573" t="s">
        <v>482</v>
      </c>
      <c r="BG3" s="548"/>
      <c r="BH3" s="548"/>
      <c r="BI3" s="573" t="s">
        <v>505</v>
      </c>
      <c r="BJ3" s="548"/>
      <c r="BK3" s="548"/>
      <c r="BL3" s="548"/>
      <c r="BM3" s="548"/>
      <c r="BN3" s="548"/>
      <c r="BO3" s="573" t="s">
        <v>501</v>
      </c>
      <c r="BP3" s="548"/>
      <c r="BQ3" s="548"/>
      <c r="BR3" s="548"/>
      <c r="BS3" s="574" t="s">
        <v>502</v>
      </c>
      <c r="BT3" s="548"/>
      <c r="BU3" s="548"/>
      <c r="BV3" s="548"/>
      <c r="BW3" s="548"/>
      <c r="BX3" s="573"/>
      <c r="BY3" s="548"/>
      <c r="BZ3" s="548"/>
      <c r="CA3" s="548"/>
      <c r="CB3" s="548"/>
    </row>
    <row r="4" spans="2:83" ht="45" customHeight="1" thickBot="1" x14ac:dyDescent="0.25">
      <c r="E4" s="246" t="s">
        <v>25</v>
      </c>
      <c r="F4" s="453" t="s">
        <v>195</v>
      </c>
      <c r="G4" s="265"/>
      <c r="H4" s="542" t="s">
        <v>224</v>
      </c>
      <c r="I4" s="247" t="s">
        <v>423</v>
      </c>
      <c r="J4" s="248" t="s">
        <v>429</v>
      </c>
      <c r="K4" s="542" t="s">
        <v>424</v>
      </c>
      <c r="L4" s="542"/>
      <c r="M4" s="249" t="s">
        <v>48</v>
      </c>
      <c r="N4" s="542" t="s">
        <v>413</v>
      </c>
      <c r="O4" s="542" t="s">
        <v>677</v>
      </c>
      <c r="P4" s="542" t="s">
        <v>414</v>
      </c>
      <c r="Q4" s="542" t="s">
        <v>444</v>
      </c>
      <c r="R4" s="542" t="s">
        <v>675</v>
      </c>
      <c r="S4" s="542" t="s">
        <v>678</v>
      </c>
      <c r="T4" s="542" t="s">
        <v>676</v>
      </c>
      <c r="U4" s="542" t="s">
        <v>425</v>
      </c>
      <c r="V4" s="542" t="s">
        <v>477</v>
      </c>
      <c r="W4" s="542" t="s">
        <v>476</v>
      </c>
      <c r="X4" s="561" t="s">
        <v>431</v>
      </c>
      <c r="Y4" s="557" t="s">
        <v>720</v>
      </c>
      <c r="AA4" s="250" t="s">
        <v>428</v>
      </c>
      <c r="AB4" s="250" t="s">
        <v>475</v>
      </c>
      <c r="AC4" s="250" t="s">
        <v>434</v>
      </c>
      <c r="AD4" s="559"/>
      <c r="AE4" s="250" t="s">
        <v>474</v>
      </c>
      <c r="AF4" s="250" t="s">
        <v>718</v>
      </c>
      <c r="AG4" s="250" t="s">
        <v>719</v>
      </c>
      <c r="AH4" s="559"/>
      <c r="AI4" s="250" t="s">
        <v>440</v>
      </c>
      <c r="AJ4" s="562" t="s">
        <v>441</v>
      </c>
      <c r="AK4" s="562" t="s">
        <v>442</v>
      </c>
      <c r="AM4" s="558" t="s">
        <v>276</v>
      </c>
      <c r="AN4" s="558" t="s">
        <v>443</v>
      </c>
      <c r="AP4" s="250" t="s">
        <v>276</v>
      </c>
      <c r="AQ4" s="250" t="s">
        <v>443</v>
      </c>
      <c r="AR4" s="563"/>
      <c r="AS4" s="250" t="s">
        <v>478</v>
      </c>
      <c r="AT4" s="250" t="s">
        <v>472</v>
      </c>
      <c r="AU4" s="250" t="s">
        <v>473</v>
      </c>
      <c r="AV4" s="250" t="s">
        <v>674</v>
      </c>
      <c r="AW4" s="250" t="s">
        <v>48</v>
      </c>
      <c r="AX4" s="563" t="s">
        <v>672</v>
      </c>
      <c r="AY4" s="559" t="s">
        <v>671</v>
      </c>
      <c r="AZ4" s="559" t="s">
        <v>673</v>
      </c>
      <c r="BA4" s="250" t="s">
        <v>493</v>
      </c>
      <c r="BB4" s="250" t="s">
        <v>717</v>
      </c>
      <c r="BC4" s="250" t="s">
        <v>527</v>
      </c>
      <c r="BD4" s="250" t="s">
        <v>723</v>
      </c>
      <c r="BE4" s="559"/>
      <c r="BF4" s="572" t="s">
        <v>467</v>
      </c>
      <c r="BG4" s="250" t="s">
        <v>468</v>
      </c>
      <c r="BH4" s="559"/>
      <c r="BI4" s="572" t="s">
        <v>485</v>
      </c>
      <c r="BJ4" s="250" t="s">
        <v>486</v>
      </c>
      <c r="BK4" s="250" t="s">
        <v>484</v>
      </c>
      <c r="BL4" s="250" t="s">
        <v>480</v>
      </c>
      <c r="BM4" s="250" t="s">
        <v>489</v>
      </c>
      <c r="BN4" s="250" t="s">
        <v>503</v>
      </c>
      <c r="BO4" s="572" t="s">
        <v>487</v>
      </c>
      <c r="BP4" s="250" t="s">
        <v>488</v>
      </c>
      <c r="BQ4" s="250" t="s">
        <v>495</v>
      </c>
      <c r="BR4" s="250" t="s">
        <v>499</v>
      </c>
      <c r="BS4" s="572" t="s">
        <v>469</v>
      </c>
      <c r="BT4" s="250" t="s">
        <v>470</v>
      </c>
      <c r="BU4" s="250" t="s">
        <v>479</v>
      </c>
      <c r="BV4" s="250" t="s">
        <v>496</v>
      </c>
      <c r="BW4" s="250" t="s">
        <v>498</v>
      </c>
      <c r="BX4" s="572" t="s">
        <v>494</v>
      </c>
      <c r="BY4" s="250" t="s">
        <v>224</v>
      </c>
      <c r="BZ4" s="250" t="s">
        <v>47</v>
      </c>
      <c r="CA4" s="250" t="s">
        <v>497</v>
      </c>
      <c r="CB4" s="250"/>
      <c r="CD4" s="585" t="s">
        <v>686</v>
      </c>
      <c r="CE4" s="585" t="s">
        <v>687</v>
      </c>
    </row>
    <row r="5" spans="2:83" x14ac:dyDescent="0.2">
      <c r="E5" s="175">
        <v>0.1</v>
      </c>
      <c r="F5" s="222">
        <v>1.0000000000000001E-9</v>
      </c>
      <c r="G5" s="222"/>
      <c r="H5" s="222">
        <f t="shared" ref="H5:H36" si="0">F5*Vout</f>
        <v>1.2000000000000002E-8</v>
      </c>
      <c r="I5" s="556">
        <f t="shared" ref="I5:I36" si="1">Vin</f>
        <v>13.5</v>
      </c>
      <c r="J5" s="177">
        <f t="shared" ref="J5:J36" si="2">(T5+Vfwd1)*Nps</f>
        <v>12.25</v>
      </c>
      <c r="K5" s="452">
        <f t="shared" ref="K5:K36" si="3">(Vout+Vfwd1)*Nps+I5</f>
        <v>25.75</v>
      </c>
      <c r="L5" s="452"/>
      <c r="M5" s="222">
        <f t="shared" ref="M5:M36" si="4">(Vout+Vfwd1)*Nps/((Vout+Vfwd1)*Nps+I5)</f>
        <v>0.47572815533980584</v>
      </c>
      <c r="N5" s="177">
        <f t="shared" ref="N5:N68" si="5">M5*I5*Isw_max*0.5*Efficiency</f>
        <v>12.507487864077669</v>
      </c>
      <c r="O5" s="177">
        <f>T5*F5</f>
        <v>1.2000000000000002E-8</v>
      </c>
      <c r="P5" s="222">
        <f t="shared" ref="P5:P36" si="6">N5/Vout</f>
        <v>1.0422906553398057</v>
      </c>
      <c r="Q5" s="222">
        <f t="shared" ref="Q5:Q36" si="7">MIN(Vout,N5/F5)</f>
        <v>12</v>
      </c>
      <c r="R5" s="222">
        <f t="shared" ref="R5:R36" si="8">Isw_max/2*I5*Nps*(Q5+Vfwd1)/Q5/(I5+Nps*(Q5+Vfwd1))</f>
        <v>1.0971480582524269</v>
      </c>
      <c r="S5" s="177">
        <f t="shared" ref="S5:S36" si="9">(SQRT(Isw_max^2*Nps^2*I5^2+4*Isw_max*F5/Efficiency*(Nps^2*Vfwd1*I5-Nps*I5^2)+4*(F5/Efficiency)^2*Nps^2*Vfwd1^2+8*(F5/Efficiency)^2*Nps*Vfwd1*I5+4*(F5/Efficiency)^2*I5^2)-2*F5/Efficiency*I5-2*F5/Efficiency*Nps*Vfwd1+Isw_max*Nps*I5)/(4*F5/Efficiency*Nps)</f>
        <v>26291249986.499996</v>
      </c>
      <c r="T5" s="177">
        <f t="shared" ref="T5:T36" si="10">MIN(Vout, S5)</f>
        <v>12</v>
      </c>
      <c r="U5" s="222">
        <f t="shared" ref="U5:U36" si="11">MIN(2*Vout*F5/(Efficiency*I5*M5), Isw_max)</f>
        <v>3.9336436328917538E-9</v>
      </c>
      <c r="V5" s="222">
        <f t="shared" ref="V5:V36" si="12">L*U5/I5*1000000</f>
        <v>2.0396670689068351E-9</v>
      </c>
      <c r="W5" s="222">
        <f t="shared" ref="W5:W36" si="13">L*U5/J5*1000000</f>
        <v>2.2477963616524305E-9</v>
      </c>
      <c r="X5" s="202">
        <f t="shared" ref="X5:X36" si="14">IF(1/((350000*L)*(1/I5+1/J5))&gt;Isw_min, 350, 0.001/((Isw_min*L)*(1/I5+1/J5)))</f>
        <v>350</v>
      </c>
      <c r="Y5" s="452">
        <f>MIN(1/(V5+W5)*1000, 350)</f>
        <v>350</v>
      </c>
      <c r="AA5" s="222">
        <f t="shared" ref="AA5:AA36" si="15">1/((X5*1000*L)*(1/I5+1/J5))</f>
        <v>2.6213592233009715</v>
      </c>
      <c r="AB5" s="178">
        <f t="shared" ref="AB5:AB36" si="16">L*AA5/J5*1000000</f>
        <v>1.4979195561719838</v>
      </c>
      <c r="AC5" s="178">
        <f t="shared" ref="AC5:AC36" si="17">0.5*AB5*AA5*Nps*X5/1000</f>
        <v>0.68715241775850722</v>
      </c>
      <c r="AD5" s="178"/>
      <c r="AE5" s="178">
        <f t="shared" ref="AE5:AE36" si="18">L*Isw_min/J5*1000000</f>
        <v>0.46857142857142853</v>
      </c>
      <c r="AF5" s="560">
        <f>MAX(12, F5/(0.5*AE5/1000000*Isw_min*Nps)/1000)</f>
        <v>12</v>
      </c>
      <c r="AG5" s="543">
        <f t="shared" ref="AG5:AG36" si="19">0.5*AE5/1000000*Isw_min*Nps*X5*1000</f>
        <v>6.723999999999998E-2</v>
      </c>
      <c r="AI5" s="178">
        <f t="shared" ref="AI5:AI36" si="20">SQRT(F5/Efficiency/(0.5*L/J5*Fsw_DCM*Nps))</f>
        <v>1.0259783520851542E-4</v>
      </c>
      <c r="AJ5" s="178">
        <f t="shared" ref="AJ5:AJ36" si="21">MAX(IF(F5&gt;AC5,U5,AI5),Isw_min)</f>
        <v>0.82</v>
      </c>
      <c r="AK5" s="178">
        <f t="shared" ref="AK5:AK36" si="22">IF(F5&gt;AG5, (AJ5-Isw_min)/1.08*0.8+1.2, AF5*0.2/350+1)</f>
        <v>1.0068571428571429</v>
      </c>
      <c r="AM5" s="560">
        <f t="shared" ref="AM5:AM36" si="23">F5*1000</f>
        <v>1.0000000000000002E-6</v>
      </c>
      <c r="AN5" s="470">
        <f t="shared" ref="AN5:AN36" si="24">IF(F5&gt;AG5, Y5, AF5)</f>
        <v>12</v>
      </c>
      <c r="AP5">
        <f t="shared" ref="AP5:AP36" si="25">IF(H5&gt;N5, "",AM5)</f>
        <v>1.0000000000000002E-6</v>
      </c>
      <c r="AQ5" s="470">
        <f t="shared" ref="AQ5:AQ36" si="26">IF(H5&gt;N5, "",AN5)</f>
        <v>12</v>
      </c>
      <c r="AR5" s="470"/>
      <c r="AS5" s="6">
        <f>1/AN5*1000</f>
        <v>83.333333333333329</v>
      </c>
      <c r="AT5" s="6">
        <f t="shared" ref="AT5:AT36" si="27">L*AJ5/I5*1000000</f>
        <v>0.42518518518518511</v>
      </c>
      <c r="AU5" s="6">
        <f>AS5-AT5</f>
        <v>82.908148148148143</v>
      </c>
      <c r="AV5" s="6">
        <f t="shared" ref="AV5:AV36" si="28">L*AJ5/J5*1000000</f>
        <v>0.46857142857142853</v>
      </c>
      <c r="AW5" s="178">
        <f>AT5/AS5</f>
        <v>5.1022222222222215E-3</v>
      </c>
      <c r="AX5" s="178">
        <f t="shared" ref="AX5:AX36" si="29">0.5*L*AJ5^2*AN5*1000</f>
        <v>2.8240799999999996E-2</v>
      </c>
      <c r="AY5" s="178">
        <f t="shared" ref="AY5:AY36" si="30">AJ5*Nps/2*(1-AW5)</f>
        <v>0.40790808888888885</v>
      </c>
      <c r="AZ5" s="178">
        <f>AX5/AY5</f>
        <v>6.9233243392956056E-2</v>
      </c>
      <c r="BA5" s="470">
        <f>L*Isw_max^2/(2*Vout_ripple*Vout)*1000000000*((1+M5)/2)^2</f>
        <v>22.244671714791423</v>
      </c>
      <c r="BB5" s="470">
        <f>L*F5^2/(2*Cout*Vout*Nps^2)*1000000000*((1+M5)/(1-M5))^2+F5*RCoutEsr</f>
        <v>3.000000049168686E-9</v>
      </c>
      <c r="BC5" s="6">
        <f t="shared" ref="BC5:BC36" si="31">H5/Efficiency/I5*AU5/Vinripple1</f>
        <v>1.1492574142260086E-7</v>
      </c>
      <c r="BD5" s="470">
        <f>((BY5/I5/Efficiency)*AU5/Cin+(BY5/I5/Efficiency)*RCinEsr)*1000</f>
        <v>7.7602945635694187E-6</v>
      </c>
      <c r="BE5" s="6"/>
      <c r="BF5" s="178">
        <f>AJ5*SQRT(AW5/3)</f>
        <v>3.3816831224614673E-2</v>
      </c>
      <c r="BG5" s="178">
        <f t="shared" ref="BG5:BG36" si="32">AJ5*Nps*SQRT((1-AW5)/3)</f>
        <v>0.47221791077770353</v>
      </c>
      <c r="BH5" s="178"/>
      <c r="BI5" s="543">
        <f t="shared" ref="BI5:BI36" si="33">Rdson*BF5^2</f>
        <v>1.2579358814814812E-4</v>
      </c>
      <c r="BJ5" s="543">
        <f t="shared" ref="BJ5:BJ36" si="34">0.5*K5*AJ5*AN5*1000*Trise</f>
        <v>1.2669000000000001E-3</v>
      </c>
      <c r="BK5" s="543">
        <f t="shared" ref="BK5:BK36" si="35">Qg*Vdd*AN5*1000</f>
        <v>5.9999999999999995E-4</v>
      </c>
      <c r="BL5" s="543">
        <f t="shared" ref="BL5:BL36" si="36">0.5*(Coss+Csw)*K5^2*AN5*1000</f>
        <v>1.7902687500000001E-3</v>
      </c>
      <c r="BM5">
        <f t="shared" ref="BM5:BM36" si="37">I5*IQ</f>
        <v>3.9150000000000001E-3</v>
      </c>
      <c r="BN5" s="470">
        <f>SUM(BI5:BM5)*1000</f>
        <v>7.6979623381481481</v>
      </c>
      <c r="BO5" s="543">
        <f>Vfwd2*F5</f>
        <v>4.0000000000000007E-10</v>
      </c>
      <c r="BP5" s="543"/>
      <c r="BR5" s="470">
        <f>SUM(BO5:BQ5)*1000</f>
        <v>4.0000000000000009E-7</v>
      </c>
      <c r="BS5" s="543">
        <f t="shared" ref="BS5:BS36" si="38">Rdcr_pri*BF5^2</f>
        <v>4.5743122962962951E-5</v>
      </c>
      <c r="BT5" s="543">
        <f t="shared" ref="BT5:BT36" si="39">Rdcr_sec*BG5^2</f>
        <v>8.9195902103703668E-3</v>
      </c>
      <c r="BU5" s="543">
        <f t="shared" ref="BU5:BU36" si="40">AJ5^2.5*AN5^2.5*k_core</f>
        <v>0</v>
      </c>
      <c r="BV5" s="543">
        <f t="shared" ref="BV5:BV36" si="41">0.5*Lleak*0.000000001*AJ5^2*AN5*1000</f>
        <v>3.0257999999999994E-4</v>
      </c>
      <c r="BW5" s="470">
        <f>SUM(BS5:BV5)*1000</f>
        <v>9.2679133333333308</v>
      </c>
      <c r="BX5" s="178">
        <f>SUM(BI5:BM5,BO5:BQ5,BS5:BV5)</f>
        <v>1.6965876071481478E-2</v>
      </c>
      <c r="BY5" s="6">
        <f>MIN(H5,O5)</f>
        <v>1.2000000000000002E-8</v>
      </c>
      <c r="BZ5" s="178">
        <f>BY5/(BY5+BX5)</f>
        <v>7.0730161306269591E-7</v>
      </c>
      <c r="CA5" s="6">
        <f>BZ5*100</f>
        <v>7.0730161306269593E-5</v>
      </c>
      <c r="CD5" s="577">
        <f t="shared" ref="CD5:CD36" si="42">IF(ABS(F5-Ioutmax_Vinnom)&lt;Iout/200, AN5, -50)</f>
        <v>-50</v>
      </c>
      <c r="CE5">
        <f t="shared" ref="CE5:CE36" si="43">IF(ABS(F5-Ioutmax_Vinnom)&lt;Iout/200, N5*BZ5, -50)</f>
        <v>-50</v>
      </c>
    </row>
    <row r="6" spans="2:83" x14ac:dyDescent="0.2">
      <c r="E6" s="175">
        <v>1</v>
      </c>
      <c r="F6" s="222">
        <f t="shared" ref="F6:F37" si="44">IF(PLOT_TYPE=1, E6/100*Iout_max, min_I*EXP(N6*rr/100))</f>
        <v>8.0000000000000002E-3</v>
      </c>
      <c r="G6" s="222"/>
      <c r="H6" s="222">
        <f t="shared" si="0"/>
        <v>9.6000000000000002E-2</v>
      </c>
      <c r="I6" s="556">
        <f t="shared" si="1"/>
        <v>13.5</v>
      </c>
      <c r="J6" s="177">
        <f t="shared" si="2"/>
        <v>12.25</v>
      </c>
      <c r="K6" s="452">
        <f t="shared" si="3"/>
        <v>25.75</v>
      </c>
      <c r="L6" s="452"/>
      <c r="M6" s="222">
        <f t="shared" si="4"/>
        <v>0.47572815533980584</v>
      </c>
      <c r="N6" s="177">
        <f t="shared" si="5"/>
        <v>12.507487864077669</v>
      </c>
      <c r="O6" s="177">
        <f t="shared" ref="O6:O69" si="45">T6*F6</f>
        <v>9.6000000000000002E-2</v>
      </c>
      <c r="P6" s="222">
        <f t="shared" si="6"/>
        <v>1.0422906553398057</v>
      </c>
      <c r="Q6" s="222">
        <f t="shared" si="7"/>
        <v>12</v>
      </c>
      <c r="R6" s="222">
        <f t="shared" si="8"/>
        <v>1.0971480582524269</v>
      </c>
      <c r="S6" s="177">
        <f t="shared" si="9"/>
        <v>3272.9072811145206</v>
      </c>
      <c r="T6" s="177">
        <f t="shared" si="10"/>
        <v>12</v>
      </c>
      <c r="U6" s="222">
        <f t="shared" si="11"/>
        <v>3.1469149063134028E-2</v>
      </c>
      <c r="V6" s="222">
        <f t="shared" si="12"/>
        <v>1.6317336551254683E-2</v>
      </c>
      <c r="W6" s="222">
        <f t="shared" si="13"/>
        <v>1.7982370893219444E-2</v>
      </c>
      <c r="X6" s="202">
        <f t="shared" si="14"/>
        <v>350</v>
      </c>
      <c r="Y6" s="452">
        <f t="shared" ref="Y6:Y69" si="46">MIN(1/(V6+W6)*1000, 350)</f>
        <v>350</v>
      </c>
      <c r="AA6" s="222">
        <f t="shared" si="15"/>
        <v>2.6213592233009715</v>
      </c>
      <c r="AB6" s="178">
        <f t="shared" si="16"/>
        <v>1.4979195561719838</v>
      </c>
      <c r="AC6" s="178">
        <f t="shared" si="17"/>
        <v>0.68715241775850722</v>
      </c>
      <c r="AD6" s="178"/>
      <c r="AE6" s="178">
        <f t="shared" si="18"/>
        <v>0.46857142857142853</v>
      </c>
      <c r="AF6" s="560">
        <f>MAX(12, F6/(0.5*AE6/1000000*Isw_min*Nps)/1000)</f>
        <v>41.64187983343249</v>
      </c>
      <c r="AG6" s="543">
        <f t="shared" si="19"/>
        <v>6.723999999999998E-2</v>
      </c>
      <c r="AI6" s="178">
        <f t="shared" si="20"/>
        <v>0.29019050004400471</v>
      </c>
      <c r="AJ6" s="178">
        <f t="shared" si="21"/>
        <v>0.82</v>
      </c>
      <c r="AK6" s="178">
        <f t="shared" si="22"/>
        <v>1.0237953599048186</v>
      </c>
      <c r="AM6" s="560">
        <f t="shared" si="23"/>
        <v>8</v>
      </c>
      <c r="AN6" s="470">
        <f t="shared" si="24"/>
        <v>41.64187983343249</v>
      </c>
      <c r="AP6">
        <f t="shared" si="25"/>
        <v>8</v>
      </c>
      <c r="AQ6" s="470">
        <f t="shared" si="26"/>
        <v>41.64187983343249</v>
      </c>
      <c r="AR6" s="470"/>
      <c r="AS6" s="6">
        <f t="shared" ref="AS6:AS69" si="47">1/AN6*1000</f>
        <v>24.014285714285709</v>
      </c>
      <c r="AT6" s="6">
        <f t="shared" si="27"/>
        <v>0.42518518518518511</v>
      </c>
      <c r="AU6" s="6">
        <f t="shared" ref="AU6:AU69" si="48">AS6-AT6</f>
        <v>23.589100529100524</v>
      </c>
      <c r="AV6" s="6">
        <f t="shared" si="28"/>
        <v>0.46857142857142853</v>
      </c>
      <c r="AW6" s="178">
        <f t="shared" ref="AW6:AW69" si="49">AT6/AS6</f>
        <v>1.7705510388437217E-2</v>
      </c>
      <c r="AX6" s="178">
        <f t="shared" si="29"/>
        <v>9.8000000000000004E-2</v>
      </c>
      <c r="AY6" s="178">
        <f t="shared" si="30"/>
        <v>0.40274074074074068</v>
      </c>
      <c r="AZ6" s="178">
        <f t="shared" ref="AZ6:AZ69" si="50">AX6/AY6</f>
        <v>0.243332720250138</v>
      </c>
      <c r="BA6" s="470">
        <f>L*Isw_max^2/(2*Vout_ripple*Vout)*1000000000*((1+M6)/2)^2</f>
        <v>22.244671714791423</v>
      </c>
      <c r="BB6" s="470">
        <f>L*F6^2/(2*Cout*Vout*Nps^2)*1000000000*((1+M6)/(1-M6))^2+F6*RCoutEsr</f>
        <v>2.7146795863370595E-2</v>
      </c>
      <c r="BC6" s="6">
        <f t="shared" si="31"/>
        <v>0.26159019863330019</v>
      </c>
      <c r="BD6" s="470">
        <f>((BY6/I6/Efficiency)*AU6/Cin+(BY6/I6/Efficiency)*RCinEsr)*1000</f>
        <v>17.679794548098638</v>
      </c>
      <c r="BE6" s="6"/>
      <c r="BF6" s="178">
        <f t="shared" ref="BF6:BF69" si="51">AJ6*SQRT(AW6/3)</f>
        <v>6.2995198719651604E-2</v>
      </c>
      <c r="BG6" s="178">
        <f t="shared" si="32"/>
        <v>0.46921736782817924</v>
      </c>
      <c r="BH6" s="178"/>
      <c r="BI6" s="543">
        <f t="shared" si="33"/>
        <v>4.3652345679012349E-4</v>
      </c>
      <c r="BJ6" s="543">
        <f t="shared" si="34"/>
        <v>4.3963414634146346E-3</v>
      </c>
      <c r="BK6" s="543">
        <f t="shared" si="35"/>
        <v>2.0820939916716247E-3</v>
      </c>
      <c r="BL6" s="543">
        <f t="shared" si="36"/>
        <v>6.2125130130874489E-3</v>
      </c>
      <c r="BM6">
        <f t="shared" si="37"/>
        <v>3.9150000000000001E-3</v>
      </c>
      <c r="BN6" s="470">
        <f t="shared" ref="BN6:BN69" si="52">SUM(BI6:BM6)*1000</f>
        <v>17.042471924963831</v>
      </c>
      <c r="BO6" s="543">
        <f t="shared" ref="BO6:BO36" si="53">Vfwd2*F6</f>
        <v>3.2000000000000002E-3</v>
      </c>
      <c r="BP6" s="543"/>
      <c r="BR6" s="470">
        <f t="shared" ref="BR6:BR69" si="54">SUM(BO6:BQ6)*1000</f>
        <v>3.2</v>
      </c>
      <c r="BS6" s="543">
        <f t="shared" si="38"/>
        <v>1.5873580246913581E-4</v>
      </c>
      <c r="BT6" s="543">
        <f t="shared" si="39"/>
        <v>8.806597530864194E-3</v>
      </c>
      <c r="BU6" s="543">
        <f t="shared" si="40"/>
        <v>0</v>
      </c>
      <c r="BV6" s="543">
        <f t="shared" si="41"/>
        <v>1.0500000000000002E-3</v>
      </c>
      <c r="BW6" s="470">
        <f t="shared" ref="BW6:BW69" si="55">SUM(BS6:BV6)*1000</f>
        <v>10.015333333333331</v>
      </c>
      <c r="BX6" s="178">
        <f t="shared" ref="BX6:BX69" si="56">SUM(BI6:BM6,BO6:BQ6,BS6:BV6)</f>
        <v>3.0257805258297164E-2</v>
      </c>
      <c r="BY6" s="6">
        <f t="shared" ref="BY6:BY69" si="57">MIN(H6,O6)</f>
        <v>9.6000000000000002E-2</v>
      </c>
      <c r="BZ6" s="178">
        <f t="shared" ref="BZ6:BZ69" si="58">BY6/(BY6+BX6)</f>
        <v>0.76034903191611802</v>
      </c>
      <c r="CA6" s="6">
        <f t="shared" ref="CA6:CA69" si="59">BZ6*100</f>
        <v>76.034903191611804</v>
      </c>
      <c r="CD6" s="577">
        <f t="shared" si="42"/>
        <v>-50</v>
      </c>
      <c r="CE6">
        <f t="shared" si="43"/>
        <v>-50</v>
      </c>
    </row>
    <row r="7" spans="2:83" x14ac:dyDescent="0.2">
      <c r="E7" s="175">
        <v>2</v>
      </c>
      <c r="F7" s="222">
        <f t="shared" si="44"/>
        <v>1.6E-2</v>
      </c>
      <c r="G7" s="222"/>
      <c r="H7" s="222">
        <f t="shared" si="0"/>
        <v>0.192</v>
      </c>
      <c r="I7" s="556">
        <f t="shared" si="1"/>
        <v>13.5</v>
      </c>
      <c r="J7" s="177">
        <f t="shared" si="2"/>
        <v>12.25</v>
      </c>
      <c r="K7" s="452">
        <f t="shared" si="3"/>
        <v>25.75</v>
      </c>
      <c r="L7" s="452"/>
      <c r="M7" s="222">
        <f t="shared" si="4"/>
        <v>0.47572815533980584</v>
      </c>
      <c r="N7" s="177">
        <f t="shared" si="5"/>
        <v>12.507487864077669</v>
      </c>
      <c r="O7" s="177">
        <f t="shared" si="45"/>
        <v>0.192</v>
      </c>
      <c r="P7" s="222">
        <f t="shared" si="6"/>
        <v>1.0422906553398057</v>
      </c>
      <c r="Q7" s="222">
        <f t="shared" si="7"/>
        <v>12</v>
      </c>
      <c r="R7" s="222">
        <f t="shared" si="8"/>
        <v>1.0971480582524269</v>
      </c>
      <c r="S7" s="177">
        <f t="shared" si="9"/>
        <v>1629.7051956090627</v>
      </c>
      <c r="T7" s="177">
        <f t="shared" si="10"/>
        <v>12</v>
      </c>
      <c r="U7" s="222">
        <f t="shared" si="11"/>
        <v>6.2938298126268055E-2</v>
      </c>
      <c r="V7" s="222">
        <f t="shared" si="12"/>
        <v>3.2634673102509365E-2</v>
      </c>
      <c r="W7" s="222">
        <f t="shared" si="13"/>
        <v>3.5964741786438888E-2</v>
      </c>
      <c r="X7" s="202">
        <f t="shared" si="14"/>
        <v>350</v>
      </c>
      <c r="Y7" s="452">
        <f t="shared" si="46"/>
        <v>350</v>
      </c>
      <c r="AA7" s="222">
        <f t="shared" si="15"/>
        <v>2.6213592233009715</v>
      </c>
      <c r="AB7" s="178">
        <f t="shared" si="16"/>
        <v>1.4979195561719838</v>
      </c>
      <c r="AC7" s="178">
        <f t="shared" si="17"/>
        <v>0.68715241775850722</v>
      </c>
      <c r="AD7" s="178"/>
      <c r="AE7" s="178">
        <f t="shared" si="18"/>
        <v>0.46857142857142853</v>
      </c>
      <c r="AF7" s="560">
        <f>MAX(12, F7/(0.5*AE7/1000000*Isw_min*Nps)/1000)</f>
        <v>83.283759666864981</v>
      </c>
      <c r="AG7" s="543">
        <f t="shared" si="19"/>
        <v>6.723999999999998E-2</v>
      </c>
      <c r="AI7" s="178">
        <f t="shared" si="20"/>
        <v>0.41039134083406165</v>
      </c>
      <c r="AJ7" s="178">
        <f t="shared" si="21"/>
        <v>0.82</v>
      </c>
      <c r="AK7" s="178">
        <f t="shared" si="22"/>
        <v>1.0475907198096372</v>
      </c>
      <c r="AM7" s="560">
        <f t="shared" si="23"/>
        <v>16</v>
      </c>
      <c r="AN7" s="470">
        <f t="shared" si="24"/>
        <v>83.283759666864981</v>
      </c>
      <c r="AP7">
        <f t="shared" si="25"/>
        <v>16</v>
      </c>
      <c r="AQ7" s="470">
        <f t="shared" si="26"/>
        <v>83.283759666864981</v>
      </c>
      <c r="AR7" s="470"/>
      <c r="AS7" s="6">
        <f t="shared" si="47"/>
        <v>12.007142857142854</v>
      </c>
      <c r="AT7" s="6">
        <f t="shared" si="27"/>
        <v>0.42518518518518511</v>
      </c>
      <c r="AU7" s="6">
        <f t="shared" si="48"/>
        <v>11.581957671957669</v>
      </c>
      <c r="AV7" s="6">
        <f t="shared" si="28"/>
        <v>0.46857142857142853</v>
      </c>
      <c r="AW7" s="178">
        <f t="shared" si="49"/>
        <v>3.5411020776874434E-2</v>
      </c>
      <c r="AX7" s="178">
        <f t="shared" si="29"/>
        <v>0.19600000000000001</v>
      </c>
      <c r="AY7" s="178">
        <f t="shared" si="30"/>
        <v>0.39548148148148149</v>
      </c>
      <c r="AZ7" s="178">
        <f t="shared" si="50"/>
        <v>0.49559842667166137</v>
      </c>
      <c r="BA7" s="470">
        <f>L*Isw_max^2/(2*Vout_ripple*Vout)*1000000000*((1+M7)/2)^2</f>
        <v>22.244671714791423</v>
      </c>
      <c r="BB7" s="470">
        <f>L*F7^2/(2*Cout*Vout*Nps^2)*1000000000*((1+M7)/(1-M7))^2+F7*RCoutEsr</f>
        <v>6.0587183453482379E-2</v>
      </c>
      <c r="BC7" s="6">
        <f t="shared" si="31"/>
        <v>0.25687512792039535</v>
      </c>
      <c r="BD7" s="470">
        <f>((BY7/I7/Efficiency)*AU7/Cin+(BY7/I7/Efficiency)*RCinEsr)*1000</f>
        <v>17.383983415328444</v>
      </c>
      <c r="BE7" s="6"/>
      <c r="BF7" s="178">
        <f t="shared" si="51"/>
        <v>8.9088664393719527E-2</v>
      </c>
      <c r="BG7" s="178">
        <f t="shared" si="32"/>
        <v>0.46496940029412309</v>
      </c>
      <c r="BH7" s="178"/>
      <c r="BI7" s="543">
        <f t="shared" si="33"/>
        <v>8.7304691358024676E-4</v>
      </c>
      <c r="BJ7" s="543">
        <f t="shared" si="34"/>
        <v>8.7926829268292692E-3</v>
      </c>
      <c r="BK7" s="543">
        <f t="shared" si="35"/>
        <v>4.1641879833432495E-3</v>
      </c>
      <c r="BL7" s="543">
        <f t="shared" si="36"/>
        <v>1.2425026026174898E-2</v>
      </c>
      <c r="BM7">
        <f t="shared" si="37"/>
        <v>3.9150000000000001E-3</v>
      </c>
      <c r="BN7" s="470">
        <f t="shared" si="52"/>
        <v>30.169943849927662</v>
      </c>
      <c r="BO7" s="543">
        <f t="shared" si="53"/>
        <v>6.4000000000000003E-3</v>
      </c>
      <c r="BP7" s="543"/>
      <c r="BR7" s="470">
        <f t="shared" si="54"/>
        <v>6.4</v>
      </c>
      <c r="BS7" s="543">
        <f t="shared" si="38"/>
        <v>3.1747160493827156E-4</v>
      </c>
      <c r="BT7" s="543">
        <f t="shared" si="39"/>
        <v>8.6478617283950593E-3</v>
      </c>
      <c r="BU7" s="543">
        <f t="shared" si="40"/>
        <v>0</v>
      </c>
      <c r="BV7" s="543">
        <f t="shared" si="41"/>
        <v>2.1000000000000003E-3</v>
      </c>
      <c r="BW7" s="470">
        <f t="shared" si="55"/>
        <v>11.06533333333333</v>
      </c>
      <c r="BX7" s="178">
        <f t="shared" si="56"/>
        <v>4.7635277183260993E-2</v>
      </c>
      <c r="BY7" s="6">
        <f t="shared" si="57"/>
        <v>0.192</v>
      </c>
      <c r="BZ7" s="178">
        <f t="shared" si="58"/>
        <v>0.80121759307235918</v>
      </c>
      <c r="CA7" s="6">
        <f t="shared" si="59"/>
        <v>80.121759307235919</v>
      </c>
      <c r="CD7" s="577">
        <f t="shared" si="42"/>
        <v>-50</v>
      </c>
      <c r="CE7">
        <f t="shared" si="43"/>
        <v>-50</v>
      </c>
    </row>
    <row r="8" spans="2:83" x14ac:dyDescent="0.2">
      <c r="E8" s="175">
        <v>3</v>
      </c>
      <c r="F8" s="222">
        <f t="shared" si="44"/>
        <v>2.4E-2</v>
      </c>
      <c r="G8" s="222"/>
      <c r="H8" s="222">
        <f t="shared" si="0"/>
        <v>0.28800000000000003</v>
      </c>
      <c r="I8" s="556">
        <f t="shared" si="1"/>
        <v>13.5</v>
      </c>
      <c r="J8" s="177">
        <f t="shared" si="2"/>
        <v>12.25</v>
      </c>
      <c r="K8" s="452">
        <f t="shared" si="3"/>
        <v>25.75</v>
      </c>
      <c r="L8" s="452"/>
      <c r="M8" s="222">
        <f t="shared" si="4"/>
        <v>0.47572815533980584</v>
      </c>
      <c r="N8" s="177">
        <f t="shared" si="5"/>
        <v>12.507487864077669</v>
      </c>
      <c r="O8" s="177">
        <f t="shared" si="45"/>
        <v>0.28800000000000003</v>
      </c>
      <c r="P8" s="222">
        <f t="shared" si="6"/>
        <v>1.0422906553398057</v>
      </c>
      <c r="Q8" s="222">
        <f t="shared" si="7"/>
        <v>12</v>
      </c>
      <c r="R8" s="222">
        <f t="shared" si="8"/>
        <v>1.0971480582524269</v>
      </c>
      <c r="S8" s="177">
        <f t="shared" si="9"/>
        <v>1081.971868584181</v>
      </c>
      <c r="T8" s="177">
        <f t="shared" si="10"/>
        <v>12</v>
      </c>
      <c r="U8" s="222">
        <f t="shared" si="11"/>
        <v>9.4407447189402083E-2</v>
      </c>
      <c r="V8" s="222">
        <f t="shared" si="12"/>
        <v>4.8952009653764041E-2</v>
      </c>
      <c r="W8" s="222">
        <f t="shared" si="13"/>
        <v>5.3947112679658335E-2</v>
      </c>
      <c r="X8" s="202">
        <f t="shared" si="14"/>
        <v>350</v>
      </c>
      <c r="Y8" s="452">
        <f t="shared" si="46"/>
        <v>350</v>
      </c>
      <c r="AA8" s="222">
        <f t="shared" si="15"/>
        <v>2.6213592233009715</v>
      </c>
      <c r="AB8" s="178">
        <f t="shared" si="16"/>
        <v>1.4979195561719838</v>
      </c>
      <c r="AC8" s="178">
        <f t="shared" si="17"/>
        <v>0.68715241775850722</v>
      </c>
      <c r="AD8" s="178"/>
      <c r="AE8" s="178">
        <f t="shared" si="18"/>
        <v>0.46857142857142853</v>
      </c>
      <c r="AF8" s="560">
        <f>MAX(12, F8/(0.5*AE8/1000000*Isw_min*Nps)/1000)</f>
        <v>124.92563950029748</v>
      </c>
      <c r="AG8" s="543">
        <f t="shared" si="19"/>
        <v>6.723999999999998E-2</v>
      </c>
      <c r="AI8" s="178">
        <f t="shared" si="20"/>
        <v>0.50262468995003462</v>
      </c>
      <c r="AJ8" s="178">
        <f t="shared" si="21"/>
        <v>0.82</v>
      </c>
      <c r="AK8" s="178">
        <f t="shared" si="22"/>
        <v>1.0713860797144557</v>
      </c>
      <c r="AM8" s="560">
        <f t="shared" si="23"/>
        <v>24</v>
      </c>
      <c r="AN8" s="470">
        <f t="shared" si="24"/>
        <v>124.92563950029748</v>
      </c>
      <c r="AP8">
        <f t="shared" si="25"/>
        <v>24</v>
      </c>
      <c r="AQ8" s="470">
        <f t="shared" si="26"/>
        <v>124.92563950029748</v>
      </c>
      <c r="AR8" s="470"/>
      <c r="AS8" s="6">
        <f t="shared" si="47"/>
        <v>8.0047619047619012</v>
      </c>
      <c r="AT8" s="6">
        <f t="shared" si="27"/>
        <v>0.42518518518518511</v>
      </c>
      <c r="AU8" s="6">
        <f t="shared" si="48"/>
        <v>7.5795767195767159</v>
      </c>
      <c r="AV8" s="6">
        <f t="shared" si="28"/>
        <v>0.46857142857142853</v>
      </c>
      <c r="AW8" s="178">
        <f t="shared" si="49"/>
        <v>5.3116531165311669E-2</v>
      </c>
      <c r="AX8" s="178">
        <f t="shared" si="29"/>
        <v>0.29400000000000004</v>
      </c>
      <c r="AY8" s="178">
        <f t="shared" si="30"/>
        <v>0.38822222222222219</v>
      </c>
      <c r="AZ8" s="178">
        <f t="shared" si="50"/>
        <v>0.75729822552947923</v>
      </c>
      <c r="BA8" s="470">
        <f>L*Isw_max^2/(2*Vout_ripple*Vout)*1000000000*((1+M8)/2)^2</f>
        <v>22.244671714791423</v>
      </c>
      <c r="BB8" s="470">
        <f>L*F8^2/(2*Cout*Vout*Nps^2)*1000000000*((1+M8)/(1-M8))^2+F8*RCoutEsr</f>
        <v>0.10032116277033536</v>
      </c>
      <c r="BC8" s="6">
        <f t="shared" si="31"/>
        <v>0.25216005720749052</v>
      </c>
      <c r="BD8" s="470">
        <f>((BY8/I8/Efficiency)*AU8/Cin+(BY8/I8/Efficiency)*RCinEsr)*1000</f>
        <v>17.088172282558244</v>
      </c>
      <c r="BE8" s="6"/>
      <c r="BF8" s="178">
        <f t="shared" si="51"/>
        <v>0.10911088481533447</v>
      </c>
      <c r="BG8" s="178">
        <f t="shared" si="32"/>
        <v>0.46068226376554605</v>
      </c>
      <c r="BH8" s="178"/>
      <c r="BI8" s="543">
        <f t="shared" si="33"/>
        <v>1.3095703703703706E-3</v>
      </c>
      <c r="BJ8" s="543">
        <f t="shared" si="34"/>
        <v>1.3189024390243907E-2</v>
      </c>
      <c r="BK8" s="543">
        <f t="shared" si="35"/>
        <v>6.2462819750148729E-3</v>
      </c>
      <c r="BL8" s="543">
        <f t="shared" si="36"/>
        <v>1.8637539039262348E-2</v>
      </c>
      <c r="BM8">
        <f t="shared" si="37"/>
        <v>3.9150000000000001E-3</v>
      </c>
      <c r="BN8" s="470">
        <f t="shared" si="52"/>
        <v>43.297415774891505</v>
      </c>
      <c r="BO8" s="543">
        <f t="shared" si="53"/>
        <v>9.6000000000000009E-3</v>
      </c>
      <c r="BP8" s="543"/>
      <c r="BR8" s="470">
        <f t="shared" si="54"/>
        <v>9.6000000000000014</v>
      </c>
      <c r="BS8" s="543">
        <f t="shared" si="38"/>
        <v>4.7620740740740748E-4</v>
      </c>
      <c r="BT8" s="543">
        <f t="shared" si="39"/>
        <v>8.4891259259259264E-3</v>
      </c>
      <c r="BU8" s="543">
        <f t="shared" si="40"/>
        <v>0</v>
      </c>
      <c r="BV8" s="543">
        <f t="shared" si="41"/>
        <v>3.1500000000000009E-3</v>
      </c>
      <c r="BW8" s="470">
        <f t="shared" si="55"/>
        <v>12.115333333333336</v>
      </c>
      <c r="BX8" s="178">
        <f t="shared" si="56"/>
        <v>6.501274910822484E-2</v>
      </c>
      <c r="BY8" s="6">
        <f t="shared" si="57"/>
        <v>0.28800000000000003</v>
      </c>
      <c r="BZ8" s="178">
        <f t="shared" si="58"/>
        <v>0.81583455761170376</v>
      </c>
      <c r="CA8" s="6">
        <f t="shared" si="59"/>
        <v>81.58345576117037</v>
      </c>
      <c r="CD8" s="577">
        <f t="shared" si="42"/>
        <v>-50</v>
      </c>
      <c r="CE8">
        <f t="shared" si="43"/>
        <v>-50</v>
      </c>
    </row>
    <row r="9" spans="2:83" x14ac:dyDescent="0.2">
      <c r="E9" s="175">
        <v>4</v>
      </c>
      <c r="F9" s="222">
        <f t="shared" si="44"/>
        <v>3.2000000000000001E-2</v>
      </c>
      <c r="G9" s="222"/>
      <c r="H9" s="222">
        <f t="shared" si="0"/>
        <v>0.38400000000000001</v>
      </c>
      <c r="I9" s="556">
        <f t="shared" si="1"/>
        <v>13.5</v>
      </c>
      <c r="J9" s="177">
        <f t="shared" si="2"/>
        <v>12.25</v>
      </c>
      <c r="K9" s="452">
        <f t="shared" si="3"/>
        <v>25.75</v>
      </c>
      <c r="L9" s="452"/>
      <c r="M9" s="222">
        <f t="shared" si="4"/>
        <v>0.47572815533980584</v>
      </c>
      <c r="N9" s="177">
        <f t="shared" si="5"/>
        <v>12.507487864077669</v>
      </c>
      <c r="O9" s="177">
        <f t="shared" si="45"/>
        <v>0.38400000000000001</v>
      </c>
      <c r="P9" s="222">
        <f t="shared" si="6"/>
        <v>1.0422906553398057</v>
      </c>
      <c r="Q9" s="222">
        <f t="shared" si="7"/>
        <v>12</v>
      </c>
      <c r="R9" s="222">
        <f t="shared" si="8"/>
        <v>1.0971480582524269</v>
      </c>
      <c r="S9" s="177">
        <f t="shared" si="9"/>
        <v>808.10573764201092</v>
      </c>
      <c r="T9" s="177">
        <f t="shared" si="10"/>
        <v>12</v>
      </c>
      <c r="U9" s="222">
        <f t="shared" si="11"/>
        <v>0.12587659625253611</v>
      </c>
      <c r="V9" s="222">
        <f t="shared" si="12"/>
        <v>6.526934620501873E-2</v>
      </c>
      <c r="W9" s="222">
        <f t="shared" si="13"/>
        <v>7.1929483572877775E-2</v>
      </c>
      <c r="X9" s="202">
        <f t="shared" si="14"/>
        <v>350</v>
      </c>
      <c r="Y9" s="452">
        <f t="shared" si="46"/>
        <v>350</v>
      </c>
      <c r="AA9" s="222">
        <f t="shared" si="15"/>
        <v>2.6213592233009715</v>
      </c>
      <c r="AB9" s="178">
        <f t="shared" si="16"/>
        <v>1.4979195561719838</v>
      </c>
      <c r="AC9" s="178">
        <f t="shared" si="17"/>
        <v>0.68715241775850722</v>
      </c>
      <c r="AD9" s="178"/>
      <c r="AE9" s="178">
        <f t="shared" si="18"/>
        <v>0.46857142857142853</v>
      </c>
      <c r="AF9" s="560">
        <f>MAX(12, F9/(0.5*AE9/1000000*Isw_min*Nps)/1000)</f>
        <v>166.56751933372996</v>
      </c>
      <c r="AG9" s="543">
        <f t="shared" si="19"/>
        <v>6.723999999999998E-2</v>
      </c>
      <c r="AI9" s="178">
        <f t="shared" si="20"/>
        <v>0.58038100008800941</v>
      </c>
      <c r="AJ9" s="178">
        <f t="shared" si="21"/>
        <v>0.82</v>
      </c>
      <c r="AK9" s="178">
        <f t="shared" si="22"/>
        <v>1.0951814396192743</v>
      </c>
      <c r="AM9" s="560">
        <f t="shared" si="23"/>
        <v>32</v>
      </c>
      <c r="AN9" s="470">
        <f t="shared" si="24"/>
        <v>166.56751933372996</v>
      </c>
      <c r="AP9">
        <f t="shared" si="25"/>
        <v>32</v>
      </c>
      <c r="AQ9" s="470">
        <f t="shared" si="26"/>
        <v>166.56751933372996</v>
      </c>
      <c r="AR9" s="470"/>
      <c r="AS9" s="6">
        <f t="shared" si="47"/>
        <v>6.0035714285714272</v>
      </c>
      <c r="AT9" s="6">
        <f t="shared" si="27"/>
        <v>0.42518518518518511</v>
      </c>
      <c r="AU9" s="6">
        <f t="shared" si="48"/>
        <v>5.5783862433862419</v>
      </c>
      <c r="AV9" s="6">
        <f t="shared" si="28"/>
        <v>0.46857142857142853</v>
      </c>
      <c r="AW9" s="178">
        <f t="shared" si="49"/>
        <v>7.0822041553748868E-2</v>
      </c>
      <c r="AX9" s="178">
        <f t="shared" si="29"/>
        <v>0.39200000000000002</v>
      </c>
      <c r="AY9" s="178">
        <f t="shared" si="30"/>
        <v>0.38096296296296295</v>
      </c>
      <c r="AZ9" s="178">
        <f t="shared" si="50"/>
        <v>1.0289714174606261</v>
      </c>
      <c r="BA9" s="470">
        <f>L*Isw_max^2/(2*Vout_ripple*Vout)*1000000000*((1+M9)/2)^2</f>
        <v>22.244671714791423</v>
      </c>
      <c r="BB9" s="470">
        <f>L*F9^2/(2*Cout*Vout*Nps^2)*1000000000*((1+M9)/(1-M9))^2+F9*RCoutEsr</f>
        <v>0.14634873381392952</v>
      </c>
      <c r="BC9" s="6">
        <f t="shared" si="31"/>
        <v>0.24744498649458577</v>
      </c>
      <c r="BD9" s="470">
        <f>((BY9/I9/Efficiency)*AU9/Cin+(BY9/I9/Efficiency)*RCinEsr)*1000</f>
        <v>16.792361149788047</v>
      </c>
      <c r="BE9" s="6"/>
      <c r="BF9" s="178">
        <f t="shared" si="51"/>
        <v>0.12599039743930321</v>
      </c>
      <c r="BG9" s="178">
        <f t="shared" si="32"/>
        <v>0.45635485434738149</v>
      </c>
      <c r="BH9" s="178"/>
      <c r="BI9" s="543">
        <f t="shared" si="33"/>
        <v>1.746093827160494E-3</v>
      </c>
      <c r="BJ9" s="543">
        <f t="shared" si="34"/>
        <v>1.7585365853658538E-2</v>
      </c>
      <c r="BK9" s="543">
        <f t="shared" si="35"/>
        <v>8.3283759666864989E-3</v>
      </c>
      <c r="BL9" s="543">
        <f t="shared" si="36"/>
        <v>2.4850052052349796E-2</v>
      </c>
      <c r="BM9">
        <f t="shared" si="37"/>
        <v>3.9150000000000001E-3</v>
      </c>
      <c r="BN9" s="470">
        <f t="shared" si="52"/>
        <v>56.424887699855326</v>
      </c>
      <c r="BO9" s="543">
        <f t="shared" si="53"/>
        <v>1.2800000000000001E-2</v>
      </c>
      <c r="BP9" s="543"/>
      <c r="BR9" s="470">
        <f t="shared" si="54"/>
        <v>12.8</v>
      </c>
      <c r="BS9" s="543">
        <f t="shared" si="38"/>
        <v>6.3494320987654324E-4</v>
      </c>
      <c r="BT9" s="543">
        <f t="shared" si="39"/>
        <v>8.3303901234567917E-3</v>
      </c>
      <c r="BU9" s="543">
        <f t="shared" si="40"/>
        <v>0</v>
      </c>
      <c r="BV9" s="543">
        <f t="shared" si="41"/>
        <v>4.2000000000000006E-3</v>
      </c>
      <c r="BW9" s="470">
        <f t="shared" si="55"/>
        <v>13.165333333333336</v>
      </c>
      <c r="BX9" s="178">
        <f t="shared" si="56"/>
        <v>8.239022103318866E-2</v>
      </c>
      <c r="BY9" s="6">
        <f t="shared" si="57"/>
        <v>0.38400000000000001</v>
      </c>
      <c r="BZ9" s="178">
        <f t="shared" si="58"/>
        <v>0.82334487877839591</v>
      </c>
      <c r="CA9" s="6">
        <f t="shared" si="59"/>
        <v>82.334487877839592</v>
      </c>
      <c r="CD9" s="577">
        <f t="shared" si="42"/>
        <v>-50</v>
      </c>
      <c r="CE9">
        <f t="shared" si="43"/>
        <v>-50</v>
      </c>
    </row>
    <row r="10" spans="2:83" x14ac:dyDescent="0.2">
      <c r="E10" s="175">
        <v>5</v>
      </c>
      <c r="F10" s="222">
        <f t="shared" si="44"/>
        <v>4.0000000000000008E-2</v>
      </c>
      <c r="G10" s="222"/>
      <c r="H10" s="222">
        <f t="shared" si="0"/>
        <v>0.48000000000000009</v>
      </c>
      <c r="I10" s="556">
        <f t="shared" si="1"/>
        <v>13.5</v>
      </c>
      <c r="J10" s="177">
        <f t="shared" si="2"/>
        <v>12.25</v>
      </c>
      <c r="K10" s="452">
        <f t="shared" si="3"/>
        <v>25.75</v>
      </c>
      <c r="L10" s="452"/>
      <c r="M10" s="222">
        <f t="shared" si="4"/>
        <v>0.47572815533980584</v>
      </c>
      <c r="N10" s="177">
        <f t="shared" si="5"/>
        <v>12.507487864077669</v>
      </c>
      <c r="O10" s="177">
        <f t="shared" si="45"/>
        <v>0.48000000000000009</v>
      </c>
      <c r="P10" s="222">
        <f t="shared" si="6"/>
        <v>1.0422906553398057</v>
      </c>
      <c r="Q10" s="222">
        <f t="shared" si="7"/>
        <v>12</v>
      </c>
      <c r="R10" s="222">
        <f t="shared" si="8"/>
        <v>1.0971480582524269</v>
      </c>
      <c r="S10" s="177">
        <f t="shared" si="9"/>
        <v>643.7864903862984</v>
      </c>
      <c r="T10" s="177">
        <f t="shared" si="10"/>
        <v>12</v>
      </c>
      <c r="U10" s="222">
        <f t="shared" si="11"/>
        <v>0.15734574531567017</v>
      </c>
      <c r="V10" s="222">
        <f t="shared" si="12"/>
        <v>8.1586682756273413E-2</v>
      </c>
      <c r="W10" s="222">
        <f t="shared" si="13"/>
        <v>8.991185446609723E-2</v>
      </c>
      <c r="X10" s="202">
        <f t="shared" si="14"/>
        <v>350</v>
      </c>
      <c r="Y10" s="452">
        <f t="shared" si="46"/>
        <v>350</v>
      </c>
      <c r="AA10" s="222">
        <f t="shared" si="15"/>
        <v>2.6213592233009715</v>
      </c>
      <c r="AB10" s="178">
        <f t="shared" si="16"/>
        <v>1.4979195561719838</v>
      </c>
      <c r="AC10" s="178">
        <f t="shared" si="17"/>
        <v>0.68715241775850722</v>
      </c>
      <c r="AD10" s="178"/>
      <c r="AE10" s="178">
        <f t="shared" si="18"/>
        <v>0.46857142857142853</v>
      </c>
      <c r="AF10" s="560">
        <f>MAX(12, F10/(0.5*AE10/1000000*Isw_min*Nps)/1000)</f>
        <v>208.20939916716247</v>
      </c>
      <c r="AG10" s="543">
        <f t="shared" si="19"/>
        <v>6.723999999999998E-2</v>
      </c>
      <c r="AI10" s="178">
        <f t="shared" si="20"/>
        <v>0.64888568452305029</v>
      </c>
      <c r="AJ10" s="178">
        <f t="shared" si="21"/>
        <v>0.82</v>
      </c>
      <c r="AK10" s="178">
        <f t="shared" si="22"/>
        <v>1.1189767995240929</v>
      </c>
      <c r="AM10" s="560">
        <f t="shared" si="23"/>
        <v>40.000000000000007</v>
      </c>
      <c r="AN10" s="470">
        <f t="shared" si="24"/>
        <v>208.20939916716247</v>
      </c>
      <c r="AP10">
        <f t="shared" si="25"/>
        <v>40.000000000000007</v>
      </c>
      <c r="AQ10" s="470">
        <f t="shared" si="26"/>
        <v>208.20939916716247</v>
      </c>
      <c r="AR10" s="470"/>
      <c r="AS10" s="6">
        <f t="shared" si="47"/>
        <v>4.8028571428571407</v>
      </c>
      <c r="AT10" s="6">
        <f t="shared" si="27"/>
        <v>0.42518518518518511</v>
      </c>
      <c r="AU10" s="6">
        <f t="shared" si="48"/>
        <v>4.3776719576719554</v>
      </c>
      <c r="AV10" s="6">
        <f t="shared" si="28"/>
        <v>0.46857142857142853</v>
      </c>
      <c r="AW10" s="178">
        <f t="shared" si="49"/>
        <v>8.8527551942186117E-2</v>
      </c>
      <c r="AX10" s="178">
        <f t="shared" si="29"/>
        <v>0.4900000000000001</v>
      </c>
      <c r="AY10" s="178">
        <f t="shared" si="30"/>
        <v>0.3737037037037037</v>
      </c>
      <c r="AZ10" s="178">
        <f t="shared" si="50"/>
        <v>1.3111992071357783</v>
      </c>
      <c r="BA10" s="470">
        <f>L*Isw_max^2/(2*Vout_ripple*Vout)*1000000000*((1+M10)/2)^2</f>
        <v>22.244671714791423</v>
      </c>
      <c r="BB10" s="470">
        <f>L*F10^2/(2*Cout*Vout*Nps^2)*1000000000*((1+M10)/(1-M10))^2+F10*RCoutEsr</f>
        <v>0.19866989658426493</v>
      </c>
      <c r="BC10" s="6">
        <f t="shared" si="31"/>
        <v>0.24272991578168088</v>
      </c>
      <c r="BD10" s="470">
        <f>((BY10/I10/Efficiency)*AU10/Cin+(BY10/I10/Efficiency)*RCinEsr)*1000</f>
        <v>16.496550017017849</v>
      </c>
      <c r="BE10" s="6"/>
      <c r="BF10" s="178">
        <f t="shared" si="51"/>
        <v>0.1408615465932487</v>
      </c>
      <c r="BG10" s="178">
        <f t="shared" si="32"/>
        <v>0.45198601529769844</v>
      </c>
      <c r="BH10" s="178"/>
      <c r="BI10" s="543">
        <f t="shared" si="33"/>
        <v>2.1826172839506173E-3</v>
      </c>
      <c r="BJ10" s="543">
        <f t="shared" si="34"/>
        <v>2.1981707317073176E-2</v>
      </c>
      <c r="BK10" s="543">
        <f t="shared" si="35"/>
        <v>1.0410469958358122E-2</v>
      </c>
      <c r="BL10" s="543">
        <f t="shared" si="36"/>
        <v>3.1062565065437246E-2</v>
      </c>
      <c r="BM10">
        <f t="shared" si="37"/>
        <v>3.9150000000000001E-3</v>
      </c>
      <c r="BN10" s="470">
        <f t="shared" si="52"/>
        <v>69.552359624819161</v>
      </c>
      <c r="BO10" s="543">
        <f t="shared" si="53"/>
        <v>1.6000000000000004E-2</v>
      </c>
      <c r="BP10" s="543"/>
      <c r="BR10" s="470">
        <f t="shared" si="54"/>
        <v>16.000000000000004</v>
      </c>
      <c r="BS10" s="543">
        <f t="shared" si="38"/>
        <v>7.9367901234567899E-4</v>
      </c>
      <c r="BT10" s="543">
        <f t="shared" si="39"/>
        <v>8.1716543209876518E-3</v>
      </c>
      <c r="BU10" s="543">
        <f t="shared" si="40"/>
        <v>0</v>
      </c>
      <c r="BV10" s="543">
        <f t="shared" si="41"/>
        <v>5.2500000000000012E-3</v>
      </c>
      <c r="BW10" s="470">
        <f t="shared" si="55"/>
        <v>14.215333333333332</v>
      </c>
      <c r="BX10" s="178">
        <f t="shared" si="56"/>
        <v>9.9767692958152507E-2</v>
      </c>
      <c r="BY10" s="6">
        <f t="shared" si="57"/>
        <v>0.48000000000000009</v>
      </c>
      <c r="BZ10" s="178">
        <f t="shared" si="58"/>
        <v>0.82791781230667216</v>
      </c>
      <c r="CA10" s="6">
        <f t="shared" si="59"/>
        <v>82.791781230667212</v>
      </c>
      <c r="CD10" s="577">
        <f t="shared" si="42"/>
        <v>-50</v>
      </c>
      <c r="CE10">
        <f t="shared" si="43"/>
        <v>-50</v>
      </c>
    </row>
    <row r="11" spans="2:83" x14ac:dyDescent="0.2">
      <c r="E11" s="175">
        <v>6</v>
      </c>
      <c r="F11" s="222">
        <f t="shared" si="44"/>
        <v>4.8000000000000001E-2</v>
      </c>
      <c r="G11" s="222"/>
      <c r="H11" s="222">
        <f t="shared" si="0"/>
        <v>0.57600000000000007</v>
      </c>
      <c r="I11" s="556">
        <f t="shared" si="1"/>
        <v>13.5</v>
      </c>
      <c r="J11" s="177">
        <f t="shared" si="2"/>
        <v>12.25</v>
      </c>
      <c r="K11" s="452">
        <f t="shared" si="3"/>
        <v>25.75</v>
      </c>
      <c r="L11" s="452"/>
      <c r="M11" s="222">
        <f t="shared" si="4"/>
        <v>0.47572815533980584</v>
      </c>
      <c r="N11" s="177">
        <f t="shared" si="5"/>
        <v>12.507487864077669</v>
      </c>
      <c r="O11" s="177">
        <f t="shared" si="45"/>
        <v>0.57600000000000007</v>
      </c>
      <c r="P11" s="222">
        <f t="shared" si="6"/>
        <v>1.0422906553398057</v>
      </c>
      <c r="Q11" s="222">
        <f t="shared" si="7"/>
        <v>12</v>
      </c>
      <c r="R11" s="222">
        <f t="shared" si="8"/>
        <v>1.0971480582524269</v>
      </c>
      <c r="S11" s="177">
        <f t="shared" si="9"/>
        <v>534.24068942243377</v>
      </c>
      <c r="T11" s="177">
        <f t="shared" si="10"/>
        <v>12</v>
      </c>
      <c r="U11" s="222">
        <f t="shared" si="11"/>
        <v>0.18881489437880417</v>
      </c>
      <c r="V11" s="222">
        <f t="shared" si="12"/>
        <v>9.7904019307528081E-2</v>
      </c>
      <c r="W11" s="222">
        <f t="shared" si="13"/>
        <v>0.10789422535931667</v>
      </c>
      <c r="X11" s="202">
        <f t="shared" si="14"/>
        <v>350</v>
      </c>
      <c r="Y11" s="452">
        <f t="shared" si="46"/>
        <v>350</v>
      </c>
      <c r="AA11" s="222">
        <f t="shared" si="15"/>
        <v>2.6213592233009715</v>
      </c>
      <c r="AB11" s="178">
        <f t="shared" si="16"/>
        <v>1.4979195561719838</v>
      </c>
      <c r="AC11" s="178">
        <f t="shared" si="17"/>
        <v>0.68715241775850722</v>
      </c>
      <c r="AD11" s="178"/>
      <c r="AE11" s="178">
        <f t="shared" si="18"/>
        <v>0.46857142857142853</v>
      </c>
      <c r="AF11" s="560">
        <f>MAX(12, F11/(0.5*AE11/1000000*Isw_min*Nps)/1000)</f>
        <v>249.85127900059496</v>
      </c>
      <c r="AG11" s="543">
        <f t="shared" si="19"/>
        <v>6.723999999999998E-2</v>
      </c>
      <c r="AI11" s="178">
        <f t="shared" si="20"/>
        <v>0.71081865331091088</v>
      </c>
      <c r="AJ11" s="178">
        <f t="shared" si="21"/>
        <v>0.82</v>
      </c>
      <c r="AK11" s="178">
        <f t="shared" si="22"/>
        <v>1.1427721594289113</v>
      </c>
      <c r="AM11" s="560">
        <f t="shared" si="23"/>
        <v>48</v>
      </c>
      <c r="AN11" s="470">
        <f t="shared" si="24"/>
        <v>249.85127900059496</v>
      </c>
      <c r="AP11">
        <f t="shared" si="25"/>
        <v>48</v>
      </c>
      <c r="AQ11" s="470">
        <f t="shared" si="26"/>
        <v>249.85127900059496</v>
      </c>
      <c r="AR11" s="470"/>
      <c r="AS11" s="6">
        <f t="shared" si="47"/>
        <v>4.0023809523809506</v>
      </c>
      <c r="AT11" s="6">
        <f t="shared" si="27"/>
        <v>0.42518518518518511</v>
      </c>
      <c r="AU11" s="6">
        <f t="shared" si="48"/>
        <v>3.5771957671957653</v>
      </c>
      <c r="AV11" s="6">
        <f t="shared" si="28"/>
        <v>0.46857142857142853</v>
      </c>
      <c r="AW11" s="178">
        <f t="shared" si="49"/>
        <v>0.10623306233062334</v>
      </c>
      <c r="AX11" s="178">
        <f t="shared" si="29"/>
        <v>0.58800000000000008</v>
      </c>
      <c r="AY11" s="178">
        <f t="shared" si="30"/>
        <v>0.36644444444444441</v>
      </c>
      <c r="AZ11" s="178">
        <f t="shared" si="50"/>
        <v>1.604608853850819</v>
      </c>
      <c r="BA11" s="470">
        <f>L*Isw_max^2/(2*Vout_ripple*Vout)*1000000000*((1+M11)/2)^2</f>
        <v>22.244671714791423</v>
      </c>
      <c r="BB11" s="470">
        <f>L*F11^2/(2*Cout*Vout*Nps^2)*1000000000*((1+M11)/(1-M11))^2+F11*RCoutEsr</f>
        <v>0.25728465108134141</v>
      </c>
      <c r="BC11" s="6">
        <f t="shared" si="31"/>
        <v>0.2380148450687761</v>
      </c>
      <c r="BD11" s="470">
        <f>((BY11/I11/Efficiency)*AU11/Cin+(BY11/I11/Efficiency)*RCinEsr)*1000</f>
        <v>16.200738884247652</v>
      </c>
      <c r="BE11" s="6"/>
      <c r="BF11" s="178">
        <f t="shared" si="51"/>
        <v>0.15430609310837462</v>
      </c>
      <c r="BG11" s="178">
        <f t="shared" si="32"/>
        <v>0.4475745334164612</v>
      </c>
      <c r="BH11" s="178"/>
      <c r="BI11" s="543">
        <f t="shared" si="33"/>
        <v>2.6191407407407416E-3</v>
      </c>
      <c r="BJ11" s="543">
        <f t="shared" si="34"/>
        <v>2.6378048780487814E-2</v>
      </c>
      <c r="BK11" s="543">
        <f t="shared" si="35"/>
        <v>1.2492563950029746E-2</v>
      </c>
      <c r="BL11" s="543">
        <f t="shared" si="36"/>
        <v>3.7275078078524697E-2</v>
      </c>
      <c r="BM11">
        <f t="shared" si="37"/>
        <v>3.9150000000000001E-3</v>
      </c>
      <c r="BN11" s="470">
        <f t="shared" si="52"/>
        <v>82.679831549783003</v>
      </c>
      <c r="BO11" s="543">
        <f t="shared" si="53"/>
        <v>1.9200000000000002E-2</v>
      </c>
      <c r="BP11" s="543"/>
      <c r="BR11" s="470">
        <f t="shared" si="54"/>
        <v>19.200000000000003</v>
      </c>
      <c r="BS11" s="543">
        <f t="shared" si="38"/>
        <v>9.5241481481481507E-4</v>
      </c>
      <c r="BT11" s="543">
        <f t="shared" si="39"/>
        <v>8.0129185185185189E-3</v>
      </c>
      <c r="BU11" s="543">
        <f t="shared" si="40"/>
        <v>0</v>
      </c>
      <c r="BV11" s="543">
        <f t="shared" si="41"/>
        <v>6.3000000000000018E-3</v>
      </c>
      <c r="BW11" s="470">
        <f t="shared" si="55"/>
        <v>15.265333333333336</v>
      </c>
      <c r="BX11" s="178">
        <f t="shared" si="56"/>
        <v>0.11714516488311633</v>
      </c>
      <c r="BY11" s="6">
        <f t="shared" si="57"/>
        <v>0.57600000000000007</v>
      </c>
      <c r="BZ11" s="178">
        <f t="shared" si="58"/>
        <v>0.83099476009059337</v>
      </c>
      <c r="CA11" s="6">
        <f t="shared" si="59"/>
        <v>83.09947600905933</v>
      </c>
      <c r="CD11" s="577">
        <f t="shared" si="42"/>
        <v>-50</v>
      </c>
      <c r="CE11">
        <f t="shared" si="43"/>
        <v>-50</v>
      </c>
    </row>
    <row r="12" spans="2:83" x14ac:dyDescent="0.2">
      <c r="E12" s="175">
        <v>7</v>
      </c>
      <c r="F12" s="222">
        <f t="shared" si="44"/>
        <v>5.6000000000000008E-2</v>
      </c>
      <c r="G12" s="222"/>
      <c r="H12" s="222">
        <f t="shared" si="0"/>
        <v>0.67200000000000015</v>
      </c>
      <c r="I12" s="556">
        <f t="shared" si="1"/>
        <v>13.5</v>
      </c>
      <c r="J12" s="177">
        <f t="shared" si="2"/>
        <v>12.25</v>
      </c>
      <c r="K12" s="452">
        <f t="shared" si="3"/>
        <v>25.75</v>
      </c>
      <c r="L12" s="452"/>
      <c r="M12" s="222">
        <f t="shared" si="4"/>
        <v>0.47572815533980584</v>
      </c>
      <c r="N12" s="177">
        <f t="shared" si="5"/>
        <v>12.507487864077669</v>
      </c>
      <c r="O12" s="177">
        <f t="shared" si="45"/>
        <v>0.67200000000000015</v>
      </c>
      <c r="P12" s="222">
        <f t="shared" si="6"/>
        <v>1.0422906553398057</v>
      </c>
      <c r="Q12" s="222">
        <f t="shared" si="7"/>
        <v>12</v>
      </c>
      <c r="R12" s="222">
        <f t="shared" si="8"/>
        <v>1.0971480582524269</v>
      </c>
      <c r="S12" s="177">
        <f t="shared" si="9"/>
        <v>455.99400450033835</v>
      </c>
      <c r="T12" s="177">
        <f t="shared" si="10"/>
        <v>12</v>
      </c>
      <c r="U12" s="222">
        <f t="shared" si="11"/>
        <v>0.22028404344193822</v>
      </c>
      <c r="V12" s="222">
        <f t="shared" si="12"/>
        <v>0.11422135585878276</v>
      </c>
      <c r="W12" s="222">
        <f t="shared" si="13"/>
        <v>0.12587659625253611</v>
      </c>
      <c r="X12" s="202">
        <f t="shared" si="14"/>
        <v>350</v>
      </c>
      <c r="Y12" s="452">
        <f t="shared" si="46"/>
        <v>350</v>
      </c>
      <c r="AA12" s="222">
        <f t="shared" si="15"/>
        <v>2.6213592233009715</v>
      </c>
      <c r="AB12" s="178">
        <f t="shared" si="16"/>
        <v>1.4979195561719838</v>
      </c>
      <c r="AC12" s="178">
        <f t="shared" si="17"/>
        <v>0.68715241775850722</v>
      </c>
      <c r="AD12" s="178"/>
      <c r="AE12" s="178">
        <f t="shared" si="18"/>
        <v>0.46857142857142853</v>
      </c>
      <c r="AF12" s="560">
        <f>MAX(12, F12/(0.5*AE12/1000000*Isw_min*Nps)/1000)</f>
        <v>291.4931588340275</v>
      </c>
      <c r="AG12" s="543">
        <f t="shared" si="19"/>
        <v>6.723999999999998E-2</v>
      </c>
      <c r="AI12" s="178">
        <f t="shared" si="20"/>
        <v>0.76777189594991457</v>
      </c>
      <c r="AJ12" s="178">
        <f t="shared" si="21"/>
        <v>0.82</v>
      </c>
      <c r="AK12" s="178">
        <f t="shared" si="22"/>
        <v>1.1665675193337299</v>
      </c>
      <c r="AM12" s="560">
        <f t="shared" si="23"/>
        <v>56.000000000000007</v>
      </c>
      <c r="AN12" s="470">
        <f t="shared" si="24"/>
        <v>291.4931588340275</v>
      </c>
      <c r="AP12">
        <f t="shared" si="25"/>
        <v>56.000000000000007</v>
      </c>
      <c r="AQ12" s="470">
        <f t="shared" si="26"/>
        <v>291.4931588340275</v>
      </c>
      <c r="AR12" s="470"/>
      <c r="AS12" s="6">
        <f t="shared" si="47"/>
        <v>3.4306122448979579</v>
      </c>
      <c r="AT12" s="6">
        <f t="shared" si="27"/>
        <v>0.42518518518518511</v>
      </c>
      <c r="AU12" s="6">
        <f t="shared" si="48"/>
        <v>3.0054270597127726</v>
      </c>
      <c r="AV12" s="6">
        <f t="shared" si="28"/>
        <v>0.46857142857142853</v>
      </c>
      <c r="AW12" s="178">
        <f t="shared" si="49"/>
        <v>0.12393857271906054</v>
      </c>
      <c r="AX12" s="178">
        <f t="shared" si="29"/>
        <v>0.68600000000000017</v>
      </c>
      <c r="AY12" s="178">
        <f t="shared" si="30"/>
        <v>0.35918518518518516</v>
      </c>
      <c r="AZ12" s="178">
        <f t="shared" si="50"/>
        <v>1.9098783254279239</v>
      </c>
      <c r="BA12" s="470">
        <f>L*Isw_max^2/(2*Vout_ripple*Vout)*1000000000*((1+M12)/2)^2</f>
        <v>22.244671714791423</v>
      </c>
      <c r="BB12" s="470">
        <f>L*F12^2/(2*Cout*Vout*Nps^2)*1000000000*((1+M12)/(1-M12))^2+F12*RCoutEsr</f>
        <v>0.32219299730515921</v>
      </c>
      <c r="BC12" s="6">
        <f t="shared" si="31"/>
        <v>0.23329977435587132</v>
      </c>
      <c r="BD12" s="470">
        <f>((BY12/I12/Efficiency)*AU12/Cin+(BY12/I12/Efficiency)*RCinEsr)*1000</f>
        <v>15.904927751477455</v>
      </c>
      <c r="BE12" s="6"/>
      <c r="BF12" s="178">
        <f t="shared" si="51"/>
        <v>0.16666962960329265</v>
      </c>
      <c r="BG12" s="178">
        <f t="shared" si="32"/>
        <v>0.44311913511067713</v>
      </c>
      <c r="BH12" s="178"/>
      <c r="BI12" s="543">
        <f t="shared" si="33"/>
        <v>3.0556641975308645E-3</v>
      </c>
      <c r="BJ12" s="543">
        <f t="shared" si="34"/>
        <v>3.0774390243902449E-2</v>
      </c>
      <c r="BK12" s="543">
        <f t="shared" si="35"/>
        <v>1.4574657941701374E-2</v>
      </c>
      <c r="BL12" s="543">
        <f t="shared" si="36"/>
        <v>4.3487591091612154E-2</v>
      </c>
      <c r="BM12">
        <f t="shared" si="37"/>
        <v>3.9150000000000001E-3</v>
      </c>
      <c r="BN12" s="470">
        <f t="shared" si="52"/>
        <v>95.807303474746831</v>
      </c>
      <c r="BO12" s="543">
        <f t="shared" si="53"/>
        <v>2.2400000000000003E-2</v>
      </c>
      <c r="BP12" s="543"/>
      <c r="BR12" s="470">
        <f t="shared" si="54"/>
        <v>22.400000000000002</v>
      </c>
      <c r="BS12" s="543">
        <f t="shared" si="38"/>
        <v>1.1111506172839507E-3</v>
      </c>
      <c r="BT12" s="543">
        <f t="shared" si="39"/>
        <v>7.8541827160493825E-3</v>
      </c>
      <c r="BU12" s="543">
        <f t="shared" si="40"/>
        <v>0</v>
      </c>
      <c r="BV12" s="543">
        <f t="shared" si="41"/>
        <v>7.3500000000000024E-3</v>
      </c>
      <c r="BW12" s="470">
        <f t="shared" si="55"/>
        <v>16.315333333333335</v>
      </c>
      <c r="BX12" s="178">
        <f t="shared" si="56"/>
        <v>0.13452263680808016</v>
      </c>
      <c r="BY12" s="6">
        <f t="shared" si="57"/>
        <v>0.67200000000000015</v>
      </c>
      <c r="BZ12" s="178">
        <f t="shared" si="58"/>
        <v>0.83320661979126676</v>
      </c>
      <c r="CA12" s="6">
        <f t="shared" si="59"/>
        <v>83.320661979126669</v>
      </c>
      <c r="CD12" s="577">
        <f t="shared" si="42"/>
        <v>-50</v>
      </c>
      <c r="CE12">
        <f t="shared" si="43"/>
        <v>-50</v>
      </c>
    </row>
    <row r="13" spans="2:83" s="77" customFormat="1" x14ac:dyDescent="0.2">
      <c r="E13" s="194">
        <v>8</v>
      </c>
      <c r="F13" s="222">
        <f t="shared" si="44"/>
        <v>6.4000000000000001E-2</v>
      </c>
      <c r="G13" s="222"/>
      <c r="H13" s="222">
        <f t="shared" si="0"/>
        <v>0.76800000000000002</v>
      </c>
      <c r="I13" s="556">
        <f t="shared" si="1"/>
        <v>13.5</v>
      </c>
      <c r="J13" s="177">
        <f t="shared" si="2"/>
        <v>12.25</v>
      </c>
      <c r="K13" s="550">
        <f t="shared" si="3"/>
        <v>25.75</v>
      </c>
      <c r="L13" s="550"/>
      <c r="M13" s="334">
        <f t="shared" si="4"/>
        <v>0.47572815533980584</v>
      </c>
      <c r="N13" s="177">
        <f t="shared" si="5"/>
        <v>12.507487864077669</v>
      </c>
      <c r="O13" s="177">
        <f t="shared" si="45"/>
        <v>0.76800000000000002</v>
      </c>
      <c r="P13" s="334">
        <f t="shared" si="6"/>
        <v>1.0422906553398057</v>
      </c>
      <c r="Q13" s="222">
        <f t="shared" si="7"/>
        <v>12</v>
      </c>
      <c r="R13" s="222">
        <f t="shared" si="8"/>
        <v>1.0971480582524269</v>
      </c>
      <c r="S13" s="177">
        <f t="shared" si="9"/>
        <v>397.3092705502126</v>
      </c>
      <c r="T13" s="177">
        <f t="shared" si="10"/>
        <v>12</v>
      </c>
      <c r="U13" s="222">
        <f t="shared" si="11"/>
        <v>0.25175319250507222</v>
      </c>
      <c r="V13" s="334">
        <f t="shared" si="12"/>
        <v>0.13053869241003746</v>
      </c>
      <c r="W13" s="222">
        <f t="shared" si="13"/>
        <v>0.14385896714575555</v>
      </c>
      <c r="X13" s="552">
        <f t="shared" si="14"/>
        <v>350</v>
      </c>
      <c r="Y13" s="550">
        <f t="shared" si="46"/>
        <v>350</v>
      </c>
      <c r="AA13" s="334">
        <f t="shared" si="15"/>
        <v>2.6213592233009715</v>
      </c>
      <c r="AB13" s="178">
        <f t="shared" si="16"/>
        <v>1.4979195561719838</v>
      </c>
      <c r="AC13" s="553">
        <f t="shared" si="17"/>
        <v>0.68715241775850722</v>
      </c>
      <c r="AD13" s="553"/>
      <c r="AE13" s="178">
        <f t="shared" si="18"/>
        <v>0.46857142857142853</v>
      </c>
      <c r="AF13" s="560">
        <f>MAX(12, F13/(0.5*AE13/1000000*Isw_min*Nps)/1000)</f>
        <v>333.13503866745992</v>
      </c>
      <c r="AG13" s="543">
        <f t="shared" si="19"/>
        <v>6.723999999999998E-2</v>
      </c>
      <c r="AH13"/>
      <c r="AI13" s="178">
        <f t="shared" si="20"/>
        <v>0.82078268166812329</v>
      </c>
      <c r="AJ13" s="178">
        <f t="shared" si="21"/>
        <v>0.82078268166812329</v>
      </c>
      <c r="AK13" s="178">
        <f t="shared" si="22"/>
        <v>1.1903628792385486</v>
      </c>
      <c r="AM13" s="560">
        <f t="shared" si="23"/>
        <v>64</v>
      </c>
      <c r="AN13" s="470">
        <f t="shared" si="24"/>
        <v>333.13503866745992</v>
      </c>
      <c r="AP13">
        <f t="shared" si="25"/>
        <v>64</v>
      </c>
      <c r="AQ13" s="470">
        <f t="shared" si="26"/>
        <v>333.13503866745992</v>
      </c>
      <c r="AR13" s="470"/>
      <c r="AS13" s="6">
        <f t="shared" si="47"/>
        <v>3.0017857142857136</v>
      </c>
      <c r="AT13" s="6">
        <f t="shared" si="27"/>
        <v>0.42559102012421207</v>
      </c>
      <c r="AU13" s="6">
        <f t="shared" si="48"/>
        <v>2.5761946941615017</v>
      </c>
      <c r="AV13" s="6">
        <f t="shared" si="28"/>
        <v>0.4690186752389276</v>
      </c>
      <c r="AW13" s="178">
        <f t="shared" si="49"/>
        <v>0.1417792809456031</v>
      </c>
      <c r="AX13" s="178">
        <f t="shared" si="29"/>
        <v>0.78549735433169499</v>
      </c>
      <c r="AY13" s="178">
        <f t="shared" si="30"/>
        <v>0.35220635162430647</v>
      </c>
      <c r="AZ13" s="178">
        <f t="shared" si="50"/>
        <v>2.2302191618894311</v>
      </c>
      <c r="BA13" s="470">
        <f>L*Isw_max^2/(2*Vout_ripple*Vout)*1000000000*((1+M13)/2)^2</f>
        <v>22.244671714791423</v>
      </c>
      <c r="BB13" s="470">
        <f>L*F13^2/(2*Cout*Vout*Nps^2)*1000000000*((1+M13)/(1-M13))^2+F13*RCoutEsr</f>
        <v>0.393394935255718</v>
      </c>
      <c r="BC13" s="6">
        <f t="shared" si="31"/>
        <v>0.22854869974627487</v>
      </c>
      <c r="BD13" s="470">
        <f>((BY13/I13/Efficiency)*AU13/Cin+(BY13/I13/Efficiency)*RCinEsr)*1000</f>
        <v>15.606686355680571</v>
      </c>
      <c r="BE13" s="6"/>
      <c r="BF13" s="178">
        <f t="shared" si="51"/>
        <v>0.17843249232583488</v>
      </c>
      <c r="BG13" s="178">
        <f t="shared" si="32"/>
        <v>0.43900256171366797</v>
      </c>
      <c r="BH13" s="178"/>
      <c r="BI13" s="543">
        <f t="shared" si="33"/>
        <v>3.5021969749370039E-3</v>
      </c>
      <c r="BJ13" s="543">
        <f t="shared" si="34"/>
        <v>3.5204301813368061E-2</v>
      </c>
      <c r="BK13" s="543">
        <f t="shared" si="35"/>
        <v>1.6656751933372998E-2</v>
      </c>
      <c r="BL13" s="543">
        <f t="shared" si="36"/>
        <v>4.9700104104699591E-2</v>
      </c>
      <c r="BM13">
        <f t="shared" si="37"/>
        <v>3.9150000000000001E-3</v>
      </c>
      <c r="BN13" s="470">
        <f t="shared" si="52"/>
        <v>108.97835482637765</v>
      </c>
      <c r="BO13" s="543">
        <f t="shared" si="53"/>
        <v>2.5600000000000001E-2</v>
      </c>
      <c r="BP13" s="543"/>
      <c r="BR13" s="470">
        <f t="shared" si="54"/>
        <v>25.6</v>
      </c>
      <c r="BS13" s="543">
        <f t="shared" si="38"/>
        <v>1.273526172704365E-3</v>
      </c>
      <c r="BT13" s="543">
        <f t="shared" si="39"/>
        <v>7.7089299676465139E-3</v>
      </c>
      <c r="BU13" s="543">
        <f t="shared" si="40"/>
        <v>0</v>
      </c>
      <c r="BV13" s="543">
        <f t="shared" si="41"/>
        <v>8.4160430821253046E-3</v>
      </c>
      <c r="BW13" s="470">
        <f t="shared" si="55"/>
        <v>17.398499222476183</v>
      </c>
      <c r="BX13" s="178">
        <f t="shared" si="56"/>
        <v>0.15197685404885386</v>
      </c>
      <c r="BY13" s="6">
        <f t="shared" si="57"/>
        <v>0.76800000000000002</v>
      </c>
      <c r="BZ13" s="178">
        <f t="shared" si="58"/>
        <v>0.83480361122130642</v>
      </c>
      <c r="CA13" s="6">
        <f t="shared" si="59"/>
        <v>83.480361122130645</v>
      </c>
      <c r="CD13" s="577">
        <f t="shared" si="42"/>
        <v>-50</v>
      </c>
      <c r="CE13">
        <f t="shared" si="43"/>
        <v>-50</v>
      </c>
    </row>
    <row r="14" spans="2:83" x14ac:dyDescent="0.2">
      <c r="E14" s="175">
        <v>9</v>
      </c>
      <c r="F14" s="222">
        <f t="shared" si="44"/>
        <v>7.1999999999999995E-2</v>
      </c>
      <c r="G14" s="222"/>
      <c r="H14" s="222">
        <f t="shared" si="0"/>
        <v>0.86399999999999988</v>
      </c>
      <c r="I14" s="556">
        <f t="shared" si="1"/>
        <v>13.5</v>
      </c>
      <c r="J14" s="177">
        <f t="shared" si="2"/>
        <v>12.25</v>
      </c>
      <c r="K14" s="452">
        <f t="shared" si="3"/>
        <v>25.75</v>
      </c>
      <c r="L14" s="452"/>
      <c r="M14" s="222">
        <f t="shared" si="4"/>
        <v>0.47572815533980584</v>
      </c>
      <c r="N14" s="177">
        <f t="shared" si="5"/>
        <v>12.507487864077669</v>
      </c>
      <c r="O14" s="177">
        <f t="shared" si="45"/>
        <v>0.86399999999999988</v>
      </c>
      <c r="P14" s="222">
        <f t="shared" si="6"/>
        <v>1.0422906553398057</v>
      </c>
      <c r="Q14" s="222">
        <f t="shared" si="7"/>
        <v>12</v>
      </c>
      <c r="R14" s="222">
        <f t="shared" si="8"/>
        <v>1.0971480582524269</v>
      </c>
      <c r="S14" s="177">
        <f t="shared" si="9"/>
        <v>351.66584036114023</v>
      </c>
      <c r="T14" s="177">
        <f t="shared" si="10"/>
        <v>12</v>
      </c>
      <c r="U14" s="222">
        <f t="shared" si="11"/>
        <v>0.28322234156820619</v>
      </c>
      <c r="V14" s="222">
        <f t="shared" si="12"/>
        <v>0.1468560289612921</v>
      </c>
      <c r="W14" s="222">
        <f t="shared" si="13"/>
        <v>0.16184133803897496</v>
      </c>
      <c r="X14" s="202">
        <f t="shared" si="14"/>
        <v>350</v>
      </c>
      <c r="Y14" s="452">
        <f t="shared" si="46"/>
        <v>350</v>
      </c>
      <c r="AA14" s="222">
        <f t="shared" si="15"/>
        <v>2.6213592233009715</v>
      </c>
      <c r="AB14" s="178">
        <f t="shared" si="16"/>
        <v>1.4979195561719838</v>
      </c>
      <c r="AC14" s="178">
        <f t="shared" si="17"/>
        <v>0.68715241775850722</v>
      </c>
      <c r="AD14" s="178"/>
      <c r="AE14" s="178">
        <f t="shared" si="18"/>
        <v>0.46857142857142853</v>
      </c>
      <c r="AF14" s="560">
        <f>MAX(12, F14/(0.5*AE14/1000000*Isw_min*Nps)/1000)</f>
        <v>374.77691850089235</v>
      </c>
      <c r="AG14" s="543">
        <f t="shared" si="19"/>
        <v>6.723999999999998E-2</v>
      </c>
      <c r="AI14" s="178">
        <f t="shared" si="20"/>
        <v>0.87057150013201401</v>
      </c>
      <c r="AJ14" s="178">
        <f t="shared" si="21"/>
        <v>0.87057150013201401</v>
      </c>
      <c r="AK14" s="178">
        <f t="shared" si="22"/>
        <v>1.2374603704681586</v>
      </c>
      <c r="AM14" s="560">
        <f t="shared" si="23"/>
        <v>72</v>
      </c>
      <c r="AN14" s="470">
        <f t="shared" si="24"/>
        <v>350</v>
      </c>
      <c r="AP14">
        <f t="shared" si="25"/>
        <v>72</v>
      </c>
      <c r="AQ14" s="470">
        <f t="shared" si="26"/>
        <v>350</v>
      </c>
      <c r="AR14" s="470"/>
      <c r="AS14" s="6">
        <f t="shared" si="47"/>
        <v>2.8571428571428572</v>
      </c>
      <c r="AT14" s="6">
        <f t="shared" si="27"/>
        <v>0.45140744451289611</v>
      </c>
      <c r="AU14" s="6">
        <f t="shared" si="48"/>
        <v>2.4057354126299613</v>
      </c>
      <c r="AV14" s="6">
        <f t="shared" si="28"/>
        <v>0.49746942864686516</v>
      </c>
      <c r="AW14" s="178">
        <f t="shared" si="49"/>
        <v>0.15799260557951364</v>
      </c>
      <c r="AX14" s="178">
        <f t="shared" si="29"/>
        <v>0.92842105263157892</v>
      </c>
      <c r="AY14" s="178">
        <f t="shared" si="30"/>
        <v>0.36651382024144558</v>
      </c>
      <c r="AZ14" s="178">
        <f t="shared" si="50"/>
        <v>2.5331133544158577</v>
      </c>
      <c r="BA14" s="470">
        <f>L*Isw_max^2/(2*Vout_ripple*Vout)*1000000000*((1+M14)/2)^2</f>
        <v>22.244671714791423</v>
      </c>
      <c r="BB14" s="470">
        <f>L*F14^2/(2*Cout*Vout*Nps^2)*1000000000*((1+M14)/(1-M14))^2+F14*RCoutEsr</f>
        <v>0.47089046493301812</v>
      </c>
      <c r="BC14" s="6">
        <f t="shared" si="31"/>
        <v>0.24010458699152828</v>
      </c>
      <c r="BD14" s="470">
        <f>((BY14/I14/Efficiency)*AU14/Cin+(BY14/I14/Efficiency)*RCinEsr)*1000</f>
        <v>16.409164885086053</v>
      </c>
      <c r="BE14" s="6"/>
      <c r="BF14" s="178">
        <f t="shared" si="51"/>
        <v>0.19978468762535667</v>
      </c>
      <c r="BG14" s="178">
        <f t="shared" si="32"/>
        <v>0.46121324518904172</v>
      </c>
      <c r="BH14" s="178"/>
      <c r="BI14" s="543">
        <f t="shared" si="33"/>
        <v>4.3905313550517472E-3</v>
      </c>
      <c r="BJ14" s="543">
        <f t="shared" si="34"/>
        <v>3.9230128224698881E-2</v>
      </c>
      <c r="BK14" s="543">
        <f t="shared" si="35"/>
        <v>1.7499999999999998E-2</v>
      </c>
      <c r="BL14" s="543">
        <f t="shared" si="36"/>
        <v>5.2216171874999995E-2</v>
      </c>
      <c r="BM14">
        <f t="shared" si="37"/>
        <v>3.9150000000000001E-3</v>
      </c>
      <c r="BN14" s="470">
        <f t="shared" si="52"/>
        <v>117.25183145475063</v>
      </c>
      <c r="BO14" s="543">
        <f t="shared" si="53"/>
        <v>2.8799999999999999E-2</v>
      </c>
      <c r="BP14" s="543"/>
      <c r="BR14" s="470">
        <f t="shared" si="54"/>
        <v>28.8</v>
      </c>
      <c r="BS14" s="543">
        <f t="shared" si="38"/>
        <v>1.5965568563824537E-3</v>
      </c>
      <c r="BT14" s="543">
        <f t="shared" si="39"/>
        <v>8.5087063015122852E-3</v>
      </c>
      <c r="BU14" s="543">
        <f t="shared" si="40"/>
        <v>0</v>
      </c>
      <c r="BV14" s="543">
        <f t="shared" si="41"/>
        <v>9.9473684210526318E-3</v>
      </c>
      <c r="BW14" s="470">
        <f t="shared" si="55"/>
        <v>20.05263157894737</v>
      </c>
      <c r="BX14" s="178">
        <f t="shared" si="56"/>
        <v>0.166104463033698</v>
      </c>
      <c r="BY14" s="6">
        <f t="shared" si="57"/>
        <v>0.86399999999999988</v>
      </c>
      <c r="BZ14" s="178">
        <f t="shared" si="58"/>
        <v>0.83874988508979575</v>
      </c>
      <c r="CA14" s="6">
        <f t="shared" si="59"/>
        <v>83.87498850897957</v>
      </c>
      <c r="CD14" s="577">
        <f t="shared" si="42"/>
        <v>-50</v>
      </c>
      <c r="CE14">
        <f t="shared" si="43"/>
        <v>-50</v>
      </c>
    </row>
    <row r="15" spans="2:83" x14ac:dyDescent="0.2">
      <c r="E15" s="175">
        <v>10</v>
      </c>
      <c r="F15" s="222">
        <f t="shared" si="44"/>
        <v>8.0000000000000016E-2</v>
      </c>
      <c r="G15" s="222"/>
      <c r="H15" s="222">
        <f t="shared" si="0"/>
        <v>0.96000000000000019</v>
      </c>
      <c r="I15" s="556">
        <f t="shared" si="1"/>
        <v>13.5</v>
      </c>
      <c r="J15" s="177">
        <f t="shared" si="2"/>
        <v>12.25</v>
      </c>
      <c r="K15" s="452">
        <f t="shared" si="3"/>
        <v>25.75</v>
      </c>
      <c r="L15" s="452"/>
      <c r="M15" s="222">
        <f t="shared" si="4"/>
        <v>0.47572815533980584</v>
      </c>
      <c r="N15" s="177">
        <f t="shared" si="5"/>
        <v>12.507487864077669</v>
      </c>
      <c r="O15" s="177">
        <f t="shared" si="45"/>
        <v>0.96000000000000019</v>
      </c>
      <c r="P15" s="222">
        <f t="shared" si="6"/>
        <v>1.0422906553398057</v>
      </c>
      <c r="Q15" s="222">
        <f t="shared" si="7"/>
        <v>12</v>
      </c>
      <c r="R15" s="222">
        <f t="shared" si="8"/>
        <v>1.0971480582524269</v>
      </c>
      <c r="S15" s="177">
        <f t="shared" si="9"/>
        <v>315.15132565255112</v>
      </c>
      <c r="T15" s="177">
        <f t="shared" si="10"/>
        <v>12</v>
      </c>
      <c r="U15" s="222">
        <f t="shared" si="11"/>
        <v>0.31469149063134033</v>
      </c>
      <c r="V15" s="222">
        <f t="shared" si="12"/>
        <v>0.16317336551254683</v>
      </c>
      <c r="W15" s="222">
        <f t="shared" si="13"/>
        <v>0.17982370893219446</v>
      </c>
      <c r="X15" s="202">
        <f t="shared" si="14"/>
        <v>350</v>
      </c>
      <c r="Y15" s="452">
        <f t="shared" si="46"/>
        <v>350</v>
      </c>
      <c r="AA15" s="222">
        <f t="shared" si="15"/>
        <v>2.6213592233009715</v>
      </c>
      <c r="AB15" s="178">
        <f t="shared" si="16"/>
        <v>1.4979195561719838</v>
      </c>
      <c r="AC15" s="178">
        <f t="shared" si="17"/>
        <v>0.68715241775850722</v>
      </c>
      <c r="AD15" s="178"/>
      <c r="AE15" s="178">
        <f t="shared" si="18"/>
        <v>0.46857142857142853</v>
      </c>
      <c r="AF15" s="560">
        <f>MAX(12, F15/(0.5*AE15/1000000*Isw_min*Nps)/1000)</f>
        <v>416.41879833432495</v>
      </c>
      <c r="AG15" s="543">
        <f t="shared" si="19"/>
        <v>6.723999999999998E-2</v>
      </c>
      <c r="AI15" s="178">
        <f t="shared" si="20"/>
        <v>0.9176629354822472</v>
      </c>
      <c r="AJ15" s="178">
        <f t="shared" si="21"/>
        <v>0.9176629354822472</v>
      </c>
      <c r="AK15" s="178">
        <f t="shared" si="22"/>
        <v>1.2723429151720349</v>
      </c>
      <c r="AM15" s="560">
        <f t="shared" si="23"/>
        <v>80.000000000000014</v>
      </c>
      <c r="AN15" s="470">
        <f t="shared" si="24"/>
        <v>350</v>
      </c>
      <c r="AP15">
        <f t="shared" si="25"/>
        <v>80.000000000000014</v>
      </c>
      <c r="AQ15" s="470">
        <f t="shared" si="26"/>
        <v>350</v>
      </c>
      <c r="AR15" s="470"/>
      <c r="AS15" s="6">
        <f t="shared" si="47"/>
        <v>2.8571428571428572</v>
      </c>
      <c r="AT15" s="6">
        <f t="shared" si="27"/>
        <v>0.47582522580560965</v>
      </c>
      <c r="AU15" s="6">
        <f t="shared" si="48"/>
        <v>2.3813176313372475</v>
      </c>
      <c r="AV15" s="6">
        <f t="shared" si="28"/>
        <v>0.52437882027556981</v>
      </c>
      <c r="AW15" s="178">
        <f t="shared" si="49"/>
        <v>0.16653882903196338</v>
      </c>
      <c r="AX15" s="178">
        <f t="shared" si="29"/>
        <v>1.0315789473684214</v>
      </c>
      <c r="AY15" s="178">
        <f t="shared" si="30"/>
        <v>0.38241821238049978</v>
      </c>
      <c r="AZ15" s="178">
        <f t="shared" si="50"/>
        <v>2.69751521755982</v>
      </c>
      <c r="BA15" s="470">
        <f>L*Isw_max^2/(2*Vout_ripple*Vout)*1000000000*((1+M15)/2)^2</f>
        <v>22.244671714791423</v>
      </c>
      <c r="BB15" s="470">
        <f>L*F15^2/(2*Cout*Vout*Nps^2)*1000000000*((1+M15)/(1-M15))^2+F15*RCoutEsr</f>
        <v>0.5546795863370596</v>
      </c>
      <c r="BC15" s="6">
        <f t="shared" si="31"/>
        <v>0.26407507629297616</v>
      </c>
      <c r="BD15" s="470">
        <f>((BY15/I15/Efficiency)*AU15/Cin+(BY15/I15/Efficiency)*RCinEsr)*1000</f>
        <v>18.049629053284665</v>
      </c>
      <c r="BE15" s="6"/>
      <c r="BF15" s="178">
        <f t="shared" si="51"/>
        <v>0.2162122602505612</v>
      </c>
      <c r="BG15" s="178">
        <f t="shared" si="32"/>
        <v>0.48368792925119458</v>
      </c>
      <c r="BH15" s="178"/>
      <c r="BI15" s="543">
        <f t="shared" si="33"/>
        <v>5.1422515630922044E-3</v>
      </c>
      <c r="BJ15" s="543">
        <f t="shared" si="34"/>
        <v>4.1352186030168769E-2</v>
      </c>
      <c r="BK15" s="543">
        <f t="shared" si="35"/>
        <v>1.7499999999999998E-2</v>
      </c>
      <c r="BL15" s="543">
        <f t="shared" si="36"/>
        <v>5.2216171874999995E-2</v>
      </c>
      <c r="BM15">
        <f t="shared" si="37"/>
        <v>3.9150000000000001E-3</v>
      </c>
      <c r="BN15" s="470">
        <f t="shared" si="52"/>
        <v>120.12560946826096</v>
      </c>
      <c r="BO15" s="543">
        <f t="shared" si="53"/>
        <v>3.2000000000000008E-2</v>
      </c>
      <c r="BP15" s="543"/>
      <c r="BR15" s="470">
        <f t="shared" si="54"/>
        <v>32.000000000000007</v>
      </c>
      <c r="BS15" s="543">
        <f t="shared" si="38"/>
        <v>1.8699096593062562E-3</v>
      </c>
      <c r="BT15" s="543">
        <f t="shared" si="39"/>
        <v>9.3581605161323442E-3</v>
      </c>
      <c r="BU15" s="543">
        <f t="shared" si="40"/>
        <v>0</v>
      </c>
      <c r="BV15" s="543">
        <f t="shared" si="41"/>
        <v>1.1052631578947375E-2</v>
      </c>
      <c r="BW15" s="470">
        <f t="shared" si="55"/>
        <v>22.280701754385976</v>
      </c>
      <c r="BX15" s="178">
        <f t="shared" si="56"/>
        <v>0.17440631122264694</v>
      </c>
      <c r="BY15" s="6">
        <f t="shared" si="57"/>
        <v>0.96000000000000019</v>
      </c>
      <c r="BZ15" s="178">
        <f t="shared" si="58"/>
        <v>0.84625763318023661</v>
      </c>
      <c r="CA15" s="6">
        <f t="shared" si="59"/>
        <v>84.625763318023658</v>
      </c>
      <c r="CD15" s="577">
        <f t="shared" si="42"/>
        <v>-50</v>
      </c>
      <c r="CE15">
        <f t="shared" si="43"/>
        <v>-50</v>
      </c>
    </row>
    <row r="16" spans="2:83" x14ac:dyDescent="0.2">
      <c r="E16" s="175">
        <v>11</v>
      </c>
      <c r="F16" s="222">
        <f t="shared" si="44"/>
        <v>8.8000000000000009E-2</v>
      </c>
      <c r="G16" s="222"/>
      <c r="H16" s="222">
        <f t="shared" si="0"/>
        <v>1.056</v>
      </c>
      <c r="I16" s="556">
        <f t="shared" si="1"/>
        <v>13.5</v>
      </c>
      <c r="J16" s="177">
        <f t="shared" si="2"/>
        <v>12.25</v>
      </c>
      <c r="K16" s="452">
        <f t="shared" si="3"/>
        <v>25.75</v>
      </c>
      <c r="L16" s="452"/>
      <c r="M16" s="222">
        <f t="shared" si="4"/>
        <v>0.47572815533980584</v>
      </c>
      <c r="N16" s="177">
        <f t="shared" si="5"/>
        <v>12.507487864077669</v>
      </c>
      <c r="O16" s="177">
        <f t="shared" si="45"/>
        <v>1.056</v>
      </c>
      <c r="P16" s="222">
        <f t="shared" si="6"/>
        <v>1.0422906553398057</v>
      </c>
      <c r="Q16" s="222">
        <f t="shared" si="7"/>
        <v>12</v>
      </c>
      <c r="R16" s="222">
        <f t="shared" si="8"/>
        <v>1.0971480582524269</v>
      </c>
      <c r="S16" s="177">
        <f t="shared" si="9"/>
        <v>285.27602483399721</v>
      </c>
      <c r="T16" s="177">
        <f t="shared" si="10"/>
        <v>12</v>
      </c>
      <c r="U16" s="222">
        <f t="shared" si="11"/>
        <v>0.3461606396944743</v>
      </c>
      <c r="V16" s="222">
        <f t="shared" si="12"/>
        <v>0.17949070206380149</v>
      </c>
      <c r="W16" s="222">
        <f t="shared" si="13"/>
        <v>0.1978060798254139</v>
      </c>
      <c r="X16" s="202">
        <f t="shared" si="14"/>
        <v>350</v>
      </c>
      <c r="Y16" s="452">
        <f t="shared" si="46"/>
        <v>350</v>
      </c>
      <c r="AA16" s="222">
        <f t="shared" si="15"/>
        <v>2.6213592233009715</v>
      </c>
      <c r="AB16" s="178">
        <f t="shared" si="16"/>
        <v>1.4979195561719838</v>
      </c>
      <c r="AC16" s="178">
        <f t="shared" si="17"/>
        <v>0.68715241775850722</v>
      </c>
      <c r="AD16" s="178"/>
      <c r="AE16" s="178">
        <f t="shared" si="18"/>
        <v>0.46857142857142853</v>
      </c>
      <c r="AF16" s="560">
        <f>MAX(12, F16/(0.5*AE16/1000000*Isw_min*Nps)/1000)</f>
        <v>458.06067816775743</v>
      </c>
      <c r="AG16" s="543">
        <f t="shared" si="19"/>
        <v>6.723999999999998E-2</v>
      </c>
      <c r="AI16" s="178">
        <f t="shared" si="20"/>
        <v>0.96245300637157571</v>
      </c>
      <c r="AJ16" s="178">
        <f t="shared" si="21"/>
        <v>0.96245300637157571</v>
      </c>
      <c r="AK16" s="178">
        <f t="shared" si="22"/>
        <v>1.3055207454604265</v>
      </c>
      <c r="AM16" s="560">
        <f t="shared" si="23"/>
        <v>88.000000000000014</v>
      </c>
      <c r="AN16" s="470">
        <f t="shared" si="24"/>
        <v>350</v>
      </c>
      <c r="AP16">
        <f t="shared" si="25"/>
        <v>88.000000000000014</v>
      </c>
      <c r="AQ16" s="470">
        <f t="shared" si="26"/>
        <v>350</v>
      </c>
      <c r="AR16" s="470"/>
      <c r="AS16" s="6">
        <f t="shared" si="47"/>
        <v>2.8571428571428572</v>
      </c>
      <c r="AT16" s="6">
        <f t="shared" si="27"/>
        <v>0.49904970700748374</v>
      </c>
      <c r="AU16" s="6">
        <f t="shared" si="48"/>
        <v>2.3580931501353737</v>
      </c>
      <c r="AV16" s="6">
        <f t="shared" si="28"/>
        <v>0.54997314649804319</v>
      </c>
      <c r="AW16" s="178">
        <f t="shared" si="49"/>
        <v>0.17466739745261931</v>
      </c>
      <c r="AX16" s="178">
        <f t="shared" si="29"/>
        <v>1.1347368421052633</v>
      </c>
      <c r="AY16" s="178">
        <f t="shared" si="30"/>
        <v>0.3971719222891017</v>
      </c>
      <c r="AZ16" s="178">
        <f t="shared" si="50"/>
        <v>2.8570419468858819</v>
      </c>
      <c r="BA16" s="470">
        <f>L*Isw_max^2/(2*Vout_ripple*Vout)*1000000000*((1+M16)/2)^2</f>
        <v>22.244671714791423</v>
      </c>
      <c r="BB16" s="470">
        <f>L*F16^2/(2*Cout*Vout*Nps^2)*1000000000*((1+M16)/(1-M16))^2+F16*RCoutEsr</f>
        <v>0.64476229946784203</v>
      </c>
      <c r="BC16" s="6">
        <f t="shared" si="31"/>
        <v>0.28764956945121134</v>
      </c>
      <c r="BD16" s="470">
        <f>((BY16/I16/Efficiency)*AU16/Cin+(BY16/I16/Efficiency)*RCinEsr)*1000</f>
        <v>19.663363481816411</v>
      </c>
      <c r="BE16" s="6"/>
      <c r="BF16" s="178">
        <f t="shared" si="51"/>
        <v>0.23223348033580116</v>
      </c>
      <c r="BG16" s="178">
        <f t="shared" si="32"/>
        <v>0.50481634327315761</v>
      </c>
      <c r="BH16" s="178"/>
      <c r="BI16" s="543">
        <f t="shared" si="33"/>
        <v>5.9325628327766833E-3</v>
      </c>
      <c r="BJ16" s="543">
        <f t="shared" si="34"/>
        <v>4.3370538599619132E-2</v>
      </c>
      <c r="BK16" s="543">
        <f t="shared" si="35"/>
        <v>1.7499999999999998E-2</v>
      </c>
      <c r="BL16" s="543">
        <f t="shared" si="36"/>
        <v>5.2216171874999995E-2</v>
      </c>
      <c r="BM16">
        <f t="shared" si="37"/>
        <v>3.9150000000000001E-3</v>
      </c>
      <c r="BN16" s="470">
        <f t="shared" si="52"/>
        <v>122.93427330739581</v>
      </c>
      <c r="BO16" s="543">
        <f t="shared" si="53"/>
        <v>3.5200000000000002E-2</v>
      </c>
      <c r="BP16" s="543"/>
      <c r="BR16" s="470">
        <f t="shared" si="54"/>
        <v>35.200000000000003</v>
      </c>
      <c r="BS16" s="543">
        <f t="shared" si="38"/>
        <v>2.1572955755551578E-3</v>
      </c>
      <c r="BT16" s="543">
        <f t="shared" si="39"/>
        <v>1.01935816174273E-2</v>
      </c>
      <c r="BU16" s="543">
        <f t="shared" si="40"/>
        <v>0</v>
      </c>
      <c r="BV16" s="543">
        <f t="shared" si="41"/>
        <v>1.2157894736842107E-2</v>
      </c>
      <c r="BW16" s="470">
        <f t="shared" si="55"/>
        <v>24.508771929824562</v>
      </c>
      <c r="BX16" s="178">
        <f t="shared" si="56"/>
        <v>0.18264304523722041</v>
      </c>
      <c r="BY16" s="6">
        <f t="shared" si="57"/>
        <v>1.056</v>
      </c>
      <c r="BZ16" s="178">
        <f t="shared" si="58"/>
        <v>0.85254585981044995</v>
      </c>
      <c r="CA16" s="6">
        <f t="shared" si="59"/>
        <v>85.254585981044997</v>
      </c>
      <c r="CD16" s="577">
        <f t="shared" si="42"/>
        <v>-50</v>
      </c>
      <c r="CE16">
        <f t="shared" si="43"/>
        <v>-50</v>
      </c>
    </row>
    <row r="17" spans="5:83" x14ac:dyDescent="0.2">
      <c r="E17" s="175">
        <v>12</v>
      </c>
      <c r="F17" s="222">
        <f t="shared" si="44"/>
        <v>9.6000000000000002E-2</v>
      </c>
      <c r="G17" s="222"/>
      <c r="H17" s="222">
        <f t="shared" si="0"/>
        <v>1.1520000000000001</v>
      </c>
      <c r="I17" s="556">
        <f t="shared" si="1"/>
        <v>13.5</v>
      </c>
      <c r="J17" s="177">
        <f t="shared" si="2"/>
        <v>12.25</v>
      </c>
      <c r="K17" s="452">
        <f t="shared" si="3"/>
        <v>25.75</v>
      </c>
      <c r="L17" s="452"/>
      <c r="M17" s="222">
        <f t="shared" si="4"/>
        <v>0.47572815533980584</v>
      </c>
      <c r="N17" s="177">
        <f t="shared" si="5"/>
        <v>12.507487864077669</v>
      </c>
      <c r="O17" s="177">
        <f t="shared" si="45"/>
        <v>1.1520000000000001</v>
      </c>
      <c r="P17" s="222">
        <f t="shared" si="6"/>
        <v>1.0422906553398057</v>
      </c>
      <c r="Q17" s="222">
        <f t="shared" si="7"/>
        <v>12</v>
      </c>
      <c r="R17" s="222">
        <f t="shared" si="8"/>
        <v>1.0971480582524269</v>
      </c>
      <c r="S17" s="177">
        <f t="shared" si="9"/>
        <v>260.38013688505697</v>
      </c>
      <c r="T17" s="177">
        <f t="shared" si="10"/>
        <v>12</v>
      </c>
      <c r="U17" s="222">
        <f t="shared" si="11"/>
        <v>0.37762978875760833</v>
      </c>
      <c r="V17" s="222">
        <f t="shared" si="12"/>
        <v>0.19580803861505616</v>
      </c>
      <c r="W17" s="222">
        <f t="shared" si="13"/>
        <v>0.21578845071863334</v>
      </c>
      <c r="X17" s="202">
        <f t="shared" si="14"/>
        <v>350</v>
      </c>
      <c r="Y17" s="452">
        <f t="shared" si="46"/>
        <v>350</v>
      </c>
      <c r="AA17" s="222">
        <f t="shared" si="15"/>
        <v>2.6213592233009715</v>
      </c>
      <c r="AB17" s="178">
        <f t="shared" si="16"/>
        <v>1.4979195561719838</v>
      </c>
      <c r="AC17" s="178">
        <f t="shared" si="17"/>
        <v>0.68715241775850722</v>
      </c>
      <c r="AD17" s="178"/>
      <c r="AE17" s="178">
        <f t="shared" si="18"/>
        <v>0.46857142857142853</v>
      </c>
      <c r="AF17" s="560">
        <f>MAX(12, F17/(0.5*AE17/1000000*Isw_min*Nps)/1000)</f>
        <v>499.70255800118991</v>
      </c>
      <c r="AG17" s="543">
        <f t="shared" si="19"/>
        <v>6.723999999999998E-2</v>
      </c>
      <c r="AI17" s="178">
        <f t="shared" si="20"/>
        <v>1.0052493799000692</v>
      </c>
      <c r="AJ17" s="178">
        <f t="shared" si="21"/>
        <v>1.0052493799000692</v>
      </c>
      <c r="AK17" s="178">
        <f t="shared" si="22"/>
        <v>1.3372217628889402</v>
      </c>
      <c r="AM17" s="560">
        <f t="shared" si="23"/>
        <v>96</v>
      </c>
      <c r="AN17" s="470">
        <f t="shared" si="24"/>
        <v>350</v>
      </c>
      <c r="AP17">
        <f t="shared" si="25"/>
        <v>96</v>
      </c>
      <c r="AQ17" s="470">
        <f t="shared" si="26"/>
        <v>350</v>
      </c>
      <c r="AR17" s="470"/>
      <c r="AS17" s="6">
        <f t="shared" si="47"/>
        <v>2.8571428571428572</v>
      </c>
      <c r="AT17" s="6">
        <f t="shared" si="27"/>
        <v>0.52124041920744335</v>
      </c>
      <c r="AU17" s="6">
        <f t="shared" si="48"/>
        <v>2.3359024379354141</v>
      </c>
      <c r="AV17" s="6">
        <f t="shared" si="28"/>
        <v>0.57442821708575387</v>
      </c>
      <c r="AW17" s="178">
        <f t="shared" si="49"/>
        <v>0.18243414672260516</v>
      </c>
      <c r="AX17" s="178">
        <f t="shared" si="29"/>
        <v>1.2378947368421052</v>
      </c>
      <c r="AY17" s="178">
        <f t="shared" si="30"/>
        <v>0.41092878351728607</v>
      </c>
      <c r="AZ17" s="178">
        <f t="shared" si="50"/>
        <v>3.0124313177736601</v>
      </c>
      <c r="BA17" s="470">
        <f>L*Isw_max^2/(2*Vout_ripple*Vout)*1000000000*((1+M17)/2)^2</f>
        <v>22.244671714791423</v>
      </c>
      <c r="BB17" s="470">
        <f>L*F17^2/(2*Cout*Vout*Nps^2)*1000000000*((1+M17)/(1-M17))^2+F17*RCoutEsr</f>
        <v>0.7411386043253656</v>
      </c>
      <c r="BC17" s="6">
        <f t="shared" si="31"/>
        <v>0.31084653625027481</v>
      </c>
      <c r="BD17" s="470">
        <f>((BY17/I17/Efficiency)*AU17/Cin+(BY17/I17/Efficiency)*RCinEsr)*1000</f>
        <v>21.251614881104079</v>
      </c>
      <c r="BE17" s="6"/>
      <c r="BF17" s="178">
        <f t="shared" si="51"/>
        <v>0.24789413477113603</v>
      </c>
      <c r="BG17" s="178">
        <f t="shared" si="32"/>
        <v>0.52477671748013721</v>
      </c>
      <c r="BH17" s="178"/>
      <c r="BI17" s="543">
        <f t="shared" si="33"/>
        <v>6.7596652259323169E-3</v>
      </c>
      <c r="BJ17" s="543">
        <f t="shared" si="34"/>
        <v>4.5299050181746875E-2</v>
      </c>
      <c r="BK17" s="543">
        <f t="shared" si="35"/>
        <v>1.7499999999999998E-2</v>
      </c>
      <c r="BL17" s="543">
        <f t="shared" si="36"/>
        <v>5.2216171874999995E-2</v>
      </c>
      <c r="BM17">
        <f t="shared" si="37"/>
        <v>3.9150000000000001E-3</v>
      </c>
      <c r="BN17" s="470">
        <f t="shared" si="52"/>
        <v>125.68988728267918</v>
      </c>
      <c r="BO17" s="543">
        <f t="shared" si="53"/>
        <v>3.8400000000000004E-2</v>
      </c>
      <c r="BP17" s="543"/>
      <c r="BR17" s="470">
        <f t="shared" si="54"/>
        <v>38.400000000000006</v>
      </c>
      <c r="BS17" s="543">
        <f t="shared" si="38"/>
        <v>2.4580600821572061E-3</v>
      </c>
      <c r="BT17" s="543">
        <f t="shared" si="39"/>
        <v>1.101562412836911E-2</v>
      </c>
      <c r="BU17" s="543">
        <f t="shared" si="40"/>
        <v>0</v>
      </c>
      <c r="BV17" s="543">
        <f t="shared" si="41"/>
        <v>1.3263157894736845E-2</v>
      </c>
      <c r="BW17" s="470">
        <f t="shared" si="55"/>
        <v>26.736842105263165</v>
      </c>
      <c r="BX17" s="178">
        <f t="shared" si="56"/>
        <v>0.19082672938794237</v>
      </c>
      <c r="BY17" s="6">
        <f t="shared" si="57"/>
        <v>1.1520000000000001</v>
      </c>
      <c r="BZ17" s="178">
        <f t="shared" si="58"/>
        <v>0.85789177023984264</v>
      </c>
      <c r="CA17" s="6">
        <f t="shared" si="59"/>
        <v>85.789177023984266</v>
      </c>
      <c r="CD17" s="577">
        <f t="shared" si="42"/>
        <v>-50</v>
      </c>
      <c r="CE17">
        <f t="shared" si="43"/>
        <v>-50</v>
      </c>
    </row>
    <row r="18" spans="5:83" x14ac:dyDescent="0.2">
      <c r="E18" s="175">
        <v>13</v>
      </c>
      <c r="F18" s="222">
        <f t="shared" si="44"/>
        <v>0.10400000000000001</v>
      </c>
      <c r="G18" s="222"/>
      <c r="H18" s="222">
        <f t="shared" si="0"/>
        <v>1.2480000000000002</v>
      </c>
      <c r="I18" s="556">
        <f t="shared" si="1"/>
        <v>13.5</v>
      </c>
      <c r="J18" s="177">
        <f t="shared" si="2"/>
        <v>12.25</v>
      </c>
      <c r="K18" s="452">
        <f t="shared" si="3"/>
        <v>25.75</v>
      </c>
      <c r="L18" s="452"/>
      <c r="M18" s="222">
        <f t="shared" si="4"/>
        <v>0.47572815533980584</v>
      </c>
      <c r="N18" s="177">
        <f t="shared" si="5"/>
        <v>12.507487864077669</v>
      </c>
      <c r="O18" s="177">
        <f t="shared" si="45"/>
        <v>1.2480000000000002</v>
      </c>
      <c r="P18" s="222">
        <f t="shared" si="6"/>
        <v>1.0422906553398057</v>
      </c>
      <c r="Q18" s="222">
        <f t="shared" si="7"/>
        <v>12</v>
      </c>
      <c r="R18" s="222">
        <f t="shared" si="8"/>
        <v>1.0971480582524269</v>
      </c>
      <c r="S18" s="177">
        <f t="shared" si="9"/>
        <v>239.31456882914915</v>
      </c>
      <c r="T18" s="177">
        <f t="shared" si="10"/>
        <v>12</v>
      </c>
      <c r="U18" s="222">
        <f t="shared" si="11"/>
        <v>0.40909893782074241</v>
      </c>
      <c r="V18" s="222">
        <f t="shared" si="12"/>
        <v>0.21212537516631089</v>
      </c>
      <c r="W18" s="222">
        <f t="shared" si="13"/>
        <v>0.23377082161185281</v>
      </c>
      <c r="X18" s="202">
        <f t="shared" si="14"/>
        <v>350</v>
      </c>
      <c r="Y18" s="452">
        <f t="shared" si="46"/>
        <v>350</v>
      </c>
      <c r="AA18" s="222">
        <f t="shared" si="15"/>
        <v>2.6213592233009715</v>
      </c>
      <c r="AB18" s="178">
        <f t="shared" si="16"/>
        <v>1.4979195561719838</v>
      </c>
      <c r="AC18" s="178">
        <f t="shared" si="17"/>
        <v>0.68715241775850722</v>
      </c>
      <c r="AD18" s="178"/>
      <c r="AE18" s="178">
        <f t="shared" si="18"/>
        <v>0.46857142857142853</v>
      </c>
      <c r="AF18" s="560">
        <f>MAX(12, F18/(0.5*AE18/1000000*Isw_min*Nps)/1000)</f>
        <v>541.34443783462245</v>
      </c>
      <c r="AG18" s="543">
        <f t="shared" si="19"/>
        <v>6.723999999999998E-2</v>
      </c>
      <c r="AI18" s="178">
        <f t="shared" si="20"/>
        <v>1.0462967275611941</v>
      </c>
      <c r="AJ18" s="178">
        <f t="shared" si="21"/>
        <v>1.0462967275611941</v>
      </c>
      <c r="AK18" s="178">
        <f t="shared" si="22"/>
        <v>1.3676272056008845</v>
      </c>
      <c r="AM18" s="560">
        <f t="shared" si="23"/>
        <v>104.00000000000001</v>
      </c>
      <c r="AN18" s="470">
        <f t="shared" si="24"/>
        <v>350</v>
      </c>
      <c r="AP18">
        <f t="shared" si="25"/>
        <v>104.00000000000001</v>
      </c>
      <c r="AQ18" s="470">
        <f t="shared" si="26"/>
        <v>350</v>
      </c>
      <c r="AR18" s="470"/>
      <c r="AS18" s="6">
        <f t="shared" si="47"/>
        <v>2.8571428571428572</v>
      </c>
      <c r="AT18" s="6">
        <f t="shared" si="27"/>
        <v>0.54252422910580433</v>
      </c>
      <c r="AU18" s="6">
        <f t="shared" si="48"/>
        <v>2.3146186280370529</v>
      </c>
      <c r="AV18" s="6">
        <f t="shared" si="28"/>
        <v>0.59788384432068231</v>
      </c>
      <c r="AW18" s="178">
        <f t="shared" si="49"/>
        <v>0.18988348018703152</v>
      </c>
      <c r="AX18" s="178">
        <f t="shared" si="29"/>
        <v>1.3410526315789479</v>
      </c>
      <c r="AY18" s="178">
        <f t="shared" si="30"/>
        <v>0.42381113181178609</v>
      </c>
      <c r="AZ18" s="178">
        <f t="shared" si="50"/>
        <v>3.1642694844893962</v>
      </c>
      <c r="BA18" s="470">
        <f>L*Isw_max^2/(2*Vout_ripple*Vout)*1000000000*((1+M18)/2)^2</f>
        <v>22.244671714791423</v>
      </c>
      <c r="BB18" s="470">
        <f>L*F18^2/(2*Cout*Vout*Nps^2)*1000000000*((1+M18)/(1-M18))^2+F18*RCoutEsr</f>
        <v>0.84380850090963055</v>
      </c>
      <c r="BC18" s="6">
        <f t="shared" si="31"/>
        <v>0.33368207901699426</v>
      </c>
      <c r="BD18" s="470">
        <f>((BY18/I18/Efficiency)*AU18/Cin+(BY18/I18/Efficiency)*RCinEsr)*1000</f>
        <v>22.815470158208516</v>
      </c>
      <c r="BE18" s="6"/>
      <c r="BF18" s="178">
        <f t="shared" si="51"/>
        <v>0.26323148334239221</v>
      </c>
      <c r="BG18" s="178">
        <f t="shared" si="32"/>
        <v>0.54371083020215671</v>
      </c>
      <c r="BH18" s="178"/>
      <c r="BI18" s="543">
        <f t="shared" si="33"/>
        <v>7.6219895204899715E-3</v>
      </c>
      <c r="BJ18" s="543">
        <f t="shared" si="34"/>
        <v>4.7148746285726309E-2</v>
      </c>
      <c r="BK18" s="543">
        <f t="shared" si="35"/>
        <v>1.7499999999999998E-2</v>
      </c>
      <c r="BL18" s="543">
        <f t="shared" si="36"/>
        <v>5.2216171874999995E-2</v>
      </c>
      <c r="BM18">
        <f t="shared" si="37"/>
        <v>3.9150000000000001E-3</v>
      </c>
      <c r="BN18" s="470">
        <f t="shared" si="52"/>
        <v>128.40190768121627</v>
      </c>
      <c r="BO18" s="543">
        <f t="shared" si="53"/>
        <v>4.1600000000000005E-2</v>
      </c>
      <c r="BP18" s="543"/>
      <c r="BR18" s="470">
        <f t="shared" si="54"/>
        <v>41.600000000000009</v>
      </c>
      <c r="BS18" s="543">
        <f t="shared" si="38"/>
        <v>2.7716325529054441E-3</v>
      </c>
      <c r="BT18" s="543">
        <f t="shared" si="39"/>
        <v>1.1824858675164741E-2</v>
      </c>
      <c r="BU18" s="543">
        <f t="shared" si="40"/>
        <v>0</v>
      </c>
      <c r="BV18" s="543">
        <f t="shared" si="41"/>
        <v>1.4368421052631588E-2</v>
      </c>
      <c r="BW18" s="470">
        <f t="shared" si="55"/>
        <v>28.964912280701771</v>
      </c>
      <c r="BX18" s="178">
        <f t="shared" si="56"/>
        <v>0.19896681996191803</v>
      </c>
      <c r="BY18" s="6">
        <f t="shared" si="57"/>
        <v>1.2480000000000002</v>
      </c>
      <c r="BZ18" s="178">
        <f t="shared" si="58"/>
        <v>0.86249386149216978</v>
      </c>
      <c r="CA18" s="6">
        <f t="shared" si="59"/>
        <v>86.249386149216974</v>
      </c>
      <c r="CD18" s="577">
        <f t="shared" si="42"/>
        <v>-50</v>
      </c>
      <c r="CE18">
        <f t="shared" si="43"/>
        <v>-50</v>
      </c>
    </row>
    <row r="19" spans="5:83" x14ac:dyDescent="0.2">
      <c r="E19" s="175">
        <v>14</v>
      </c>
      <c r="F19" s="222">
        <f t="shared" si="44"/>
        <v>0.11200000000000002</v>
      </c>
      <c r="G19" s="222"/>
      <c r="H19" s="222">
        <f t="shared" si="0"/>
        <v>1.3440000000000003</v>
      </c>
      <c r="I19" s="556">
        <f t="shared" si="1"/>
        <v>13.5</v>
      </c>
      <c r="J19" s="177">
        <f t="shared" si="2"/>
        <v>12.25</v>
      </c>
      <c r="K19" s="452">
        <f t="shared" si="3"/>
        <v>25.75</v>
      </c>
      <c r="L19" s="452"/>
      <c r="M19" s="222">
        <f t="shared" si="4"/>
        <v>0.47572815533980584</v>
      </c>
      <c r="N19" s="177">
        <f t="shared" si="5"/>
        <v>12.507487864077669</v>
      </c>
      <c r="O19" s="177">
        <f t="shared" si="45"/>
        <v>1.3440000000000003</v>
      </c>
      <c r="P19" s="222">
        <f t="shared" si="6"/>
        <v>1.0422906553398057</v>
      </c>
      <c r="Q19" s="222">
        <f t="shared" si="7"/>
        <v>12</v>
      </c>
      <c r="R19" s="222">
        <f t="shared" si="8"/>
        <v>1.0971480582524269</v>
      </c>
      <c r="S19" s="177">
        <f t="shared" si="9"/>
        <v>221.25854000429896</v>
      </c>
      <c r="T19" s="177">
        <f t="shared" si="10"/>
        <v>12</v>
      </c>
      <c r="U19" s="222">
        <f t="shared" si="11"/>
        <v>0.44056808688387644</v>
      </c>
      <c r="V19" s="222">
        <f t="shared" si="12"/>
        <v>0.22844271171756553</v>
      </c>
      <c r="W19" s="222">
        <f t="shared" si="13"/>
        <v>0.25175319250507222</v>
      </c>
      <c r="X19" s="202">
        <f t="shared" si="14"/>
        <v>350</v>
      </c>
      <c r="Y19" s="452">
        <f t="shared" si="46"/>
        <v>350</v>
      </c>
      <c r="AA19" s="222">
        <f t="shared" si="15"/>
        <v>2.6213592233009715</v>
      </c>
      <c r="AB19" s="178">
        <f t="shared" si="16"/>
        <v>1.4979195561719838</v>
      </c>
      <c r="AC19" s="178">
        <f t="shared" si="17"/>
        <v>0.68715241775850722</v>
      </c>
      <c r="AD19" s="178"/>
      <c r="AE19" s="178">
        <f t="shared" si="18"/>
        <v>0.46857142857142853</v>
      </c>
      <c r="AF19" s="560">
        <f>MAX(12, F19/(0.5*AE19/1000000*Isw_min*Nps)/1000)</f>
        <v>582.98631766805499</v>
      </c>
      <c r="AG19" s="543">
        <f t="shared" si="19"/>
        <v>6.723999999999998E-2</v>
      </c>
      <c r="AI19" s="178">
        <f t="shared" si="20"/>
        <v>1.085793428061274</v>
      </c>
      <c r="AJ19" s="178">
        <f t="shared" si="21"/>
        <v>1.085793428061274</v>
      </c>
      <c r="AK19" s="178">
        <f t="shared" si="22"/>
        <v>1.3968840207861288</v>
      </c>
      <c r="AM19" s="560">
        <f t="shared" si="23"/>
        <v>112.00000000000001</v>
      </c>
      <c r="AN19" s="470">
        <f t="shared" si="24"/>
        <v>350</v>
      </c>
      <c r="AP19">
        <f t="shared" si="25"/>
        <v>112.00000000000001</v>
      </c>
      <c r="AQ19" s="470">
        <f t="shared" si="26"/>
        <v>350</v>
      </c>
      <c r="AR19" s="470"/>
      <c r="AS19" s="6">
        <f t="shared" si="47"/>
        <v>2.8571428571428572</v>
      </c>
      <c r="AT19" s="6">
        <f t="shared" si="27"/>
        <v>0.56300399973547532</v>
      </c>
      <c r="AU19" s="6">
        <f t="shared" si="48"/>
        <v>2.2941388574073818</v>
      </c>
      <c r="AV19" s="6">
        <f t="shared" si="28"/>
        <v>0.62045338746358514</v>
      </c>
      <c r="AW19" s="178">
        <f t="shared" si="49"/>
        <v>0.19705139990741635</v>
      </c>
      <c r="AX19" s="178">
        <f t="shared" si="29"/>
        <v>1.4442105263157901</v>
      </c>
      <c r="AY19" s="178">
        <f t="shared" si="30"/>
        <v>0.43591815652576366</v>
      </c>
      <c r="AZ19" s="178">
        <f t="shared" si="50"/>
        <v>3.3130313676907703</v>
      </c>
      <c r="BA19" s="470">
        <f>L*Isw_max^2/(2*Vout_ripple*Vout)*1000000000*((1+M19)/2)^2</f>
        <v>22.244671714791423</v>
      </c>
      <c r="BB19" s="470">
        <f>L*F19^2/(2*Cout*Vout*Nps^2)*1000000000*((1+M19)/(1-M19))^2+F19*RCoutEsr</f>
        <v>0.95277198922063677</v>
      </c>
      <c r="BC19" s="6">
        <f t="shared" si="31"/>
        <v>0.35617039917470467</v>
      </c>
      <c r="BD19" s="470">
        <f>((BY19/I19/Efficiency)*AU19/Cin+(BY19/I19/Efficiency)*RCinEsr)*1000</f>
        <v>24.355887909204849</v>
      </c>
      <c r="BE19" s="6"/>
      <c r="BF19" s="178">
        <f t="shared" si="51"/>
        <v>0.27827637902184765</v>
      </c>
      <c r="BG19" s="178">
        <f t="shared" si="32"/>
        <v>0.56173366733607832</v>
      </c>
      <c r="BH19" s="178"/>
      <c r="BI19" s="543">
        <f t="shared" si="33"/>
        <v>8.5181517433662122E-3</v>
      </c>
      <c r="BJ19" s="543">
        <f t="shared" si="34"/>
        <v>4.8928566352011163E-2</v>
      </c>
      <c r="BK19" s="543">
        <f t="shared" si="35"/>
        <v>1.7499999999999998E-2</v>
      </c>
      <c r="BL19" s="543">
        <f t="shared" si="36"/>
        <v>5.2216171874999995E-2</v>
      </c>
      <c r="BM19">
        <f t="shared" si="37"/>
        <v>3.9150000000000001E-3</v>
      </c>
      <c r="BN19" s="470">
        <f t="shared" si="52"/>
        <v>131.07788997037736</v>
      </c>
      <c r="BO19" s="543">
        <f t="shared" si="53"/>
        <v>4.4800000000000006E-2</v>
      </c>
      <c r="BP19" s="543"/>
      <c r="BR19" s="470">
        <f t="shared" si="54"/>
        <v>44.800000000000004</v>
      </c>
      <c r="BS19" s="543">
        <f t="shared" si="38"/>
        <v>3.0975097248604408E-3</v>
      </c>
      <c r="BT19" s="543">
        <f t="shared" si="39"/>
        <v>1.2621788520753597E-2</v>
      </c>
      <c r="BU19" s="543">
        <f t="shared" si="40"/>
        <v>0</v>
      </c>
      <c r="BV19" s="543">
        <f t="shared" si="41"/>
        <v>1.5473684210526322E-2</v>
      </c>
      <c r="BW19" s="470">
        <f t="shared" si="55"/>
        <v>31.192982456140356</v>
      </c>
      <c r="BX19" s="178">
        <f t="shared" si="56"/>
        <v>0.20707087242651775</v>
      </c>
      <c r="BY19" s="6">
        <f t="shared" si="57"/>
        <v>1.3440000000000003</v>
      </c>
      <c r="BZ19" s="178">
        <f t="shared" si="58"/>
        <v>0.86649812325946585</v>
      </c>
      <c r="CA19" s="6">
        <f t="shared" si="59"/>
        <v>86.649812325946584</v>
      </c>
      <c r="CD19" s="577">
        <f t="shared" si="42"/>
        <v>-50</v>
      </c>
      <c r="CE19">
        <f t="shared" si="43"/>
        <v>-50</v>
      </c>
    </row>
    <row r="20" spans="5:83" x14ac:dyDescent="0.2">
      <c r="E20" s="175">
        <v>15</v>
      </c>
      <c r="F20" s="222">
        <f t="shared" si="44"/>
        <v>0.12</v>
      </c>
      <c r="G20" s="222"/>
      <c r="H20" s="222">
        <f t="shared" si="0"/>
        <v>1.44</v>
      </c>
      <c r="I20" s="556">
        <f t="shared" si="1"/>
        <v>13.5</v>
      </c>
      <c r="J20" s="177">
        <f t="shared" si="2"/>
        <v>12.25</v>
      </c>
      <c r="K20" s="452">
        <f t="shared" si="3"/>
        <v>25.75</v>
      </c>
      <c r="L20" s="452"/>
      <c r="M20" s="222">
        <f t="shared" si="4"/>
        <v>0.47572815533980584</v>
      </c>
      <c r="N20" s="177">
        <f t="shared" si="5"/>
        <v>12.507487864077669</v>
      </c>
      <c r="O20" s="177">
        <f t="shared" si="45"/>
        <v>1.44</v>
      </c>
      <c r="P20" s="222">
        <f t="shared" si="6"/>
        <v>1.0422906553398057</v>
      </c>
      <c r="Q20" s="222">
        <f t="shared" si="7"/>
        <v>12</v>
      </c>
      <c r="R20" s="222">
        <f t="shared" si="8"/>
        <v>1.0971480582524269</v>
      </c>
      <c r="S20" s="177">
        <f t="shared" si="9"/>
        <v>205.61014462561408</v>
      </c>
      <c r="T20" s="177">
        <f t="shared" si="10"/>
        <v>12</v>
      </c>
      <c r="U20" s="222">
        <f t="shared" si="11"/>
        <v>0.47203723594701036</v>
      </c>
      <c r="V20" s="222">
        <f t="shared" si="12"/>
        <v>0.2447600482688202</v>
      </c>
      <c r="W20" s="222">
        <f t="shared" si="13"/>
        <v>0.26973556339829158</v>
      </c>
      <c r="X20" s="202">
        <f t="shared" si="14"/>
        <v>350</v>
      </c>
      <c r="Y20" s="452">
        <f t="shared" si="46"/>
        <v>350</v>
      </c>
      <c r="AA20" s="222">
        <f t="shared" si="15"/>
        <v>2.6213592233009715</v>
      </c>
      <c r="AB20" s="178">
        <f t="shared" si="16"/>
        <v>1.4979195561719838</v>
      </c>
      <c r="AC20" s="178">
        <f t="shared" si="17"/>
        <v>0.68715241775850722</v>
      </c>
      <c r="AD20" s="178"/>
      <c r="AE20" s="178">
        <f t="shared" si="18"/>
        <v>0.46857142857142853</v>
      </c>
      <c r="AF20" s="560">
        <f>MAX(12, F20/(0.5*AE20/1000000*Isw_min*Nps)/1000)</f>
        <v>624.62819750148731</v>
      </c>
      <c r="AG20" s="543">
        <f t="shared" si="19"/>
        <v>6.723999999999998E-2</v>
      </c>
      <c r="AI20" s="178">
        <f t="shared" si="20"/>
        <v>1.1239029738980328</v>
      </c>
      <c r="AJ20" s="178">
        <f t="shared" si="21"/>
        <v>1.1239029738980328</v>
      </c>
      <c r="AK20" s="178">
        <f t="shared" si="22"/>
        <v>1.4251133139985428</v>
      </c>
      <c r="AM20" s="560">
        <f t="shared" si="23"/>
        <v>120</v>
      </c>
      <c r="AN20" s="470">
        <f t="shared" si="24"/>
        <v>350</v>
      </c>
      <c r="AP20">
        <f t="shared" si="25"/>
        <v>120</v>
      </c>
      <c r="AQ20" s="470">
        <f t="shared" si="26"/>
        <v>350</v>
      </c>
      <c r="AR20" s="470"/>
      <c r="AS20" s="6">
        <f t="shared" si="47"/>
        <v>2.8571428571428572</v>
      </c>
      <c r="AT20" s="6">
        <f t="shared" si="27"/>
        <v>0.5827645049841651</v>
      </c>
      <c r="AU20" s="6">
        <f t="shared" si="48"/>
        <v>2.274378352158692</v>
      </c>
      <c r="AV20" s="6">
        <f t="shared" si="28"/>
        <v>0.64223027079887585</v>
      </c>
      <c r="AW20" s="178">
        <f t="shared" si="49"/>
        <v>0.20396757674445778</v>
      </c>
      <c r="AX20" s="178">
        <f t="shared" si="29"/>
        <v>1.5473684210526317</v>
      </c>
      <c r="AY20" s="178">
        <f t="shared" si="30"/>
        <v>0.44733160390808074</v>
      </c>
      <c r="AZ20" s="178">
        <f t="shared" si="50"/>
        <v>3.4591082041468959</v>
      </c>
      <c r="BA20" s="470">
        <f>L*Isw_max^2/(2*Vout_ripple*Vout)*1000000000*((1+M20)/2)^2</f>
        <v>22.244671714791423</v>
      </c>
      <c r="BB20" s="470">
        <f>L*F20^2/(2*Cout*Vout*Nps^2)*1000000000*((1+M20)/(1-M20))^2+F20*RCoutEsr</f>
        <v>1.0680290692583836</v>
      </c>
      <c r="BC20" s="6">
        <f t="shared" si="31"/>
        <v>0.37832414434868428</v>
      </c>
      <c r="BD20" s="470">
        <f>((BY20/I20/Efficiency)*AU20/Cin+(BY20/I20/Efficiency)*RCinEsr)*1000</f>
        <v>25.873721848799345</v>
      </c>
      <c r="BE20" s="6"/>
      <c r="BF20" s="178">
        <f t="shared" si="51"/>
        <v>0.29305474735113041</v>
      </c>
      <c r="BG20" s="178">
        <f t="shared" si="32"/>
        <v>0.57894001989317734</v>
      </c>
      <c r="BH20" s="178"/>
      <c r="BI20" s="543">
        <f t="shared" si="33"/>
        <v>9.4469193439538374E-3</v>
      </c>
      <c r="BJ20" s="543">
        <f t="shared" si="34"/>
        <v>5.0645877761280107E-2</v>
      </c>
      <c r="BK20" s="543">
        <f t="shared" si="35"/>
        <v>1.7499999999999998E-2</v>
      </c>
      <c r="BL20" s="543">
        <f t="shared" si="36"/>
        <v>5.2216171874999995E-2</v>
      </c>
      <c r="BM20">
        <f t="shared" si="37"/>
        <v>3.9150000000000001E-3</v>
      </c>
      <c r="BN20" s="470">
        <f t="shared" si="52"/>
        <v>133.72396898023393</v>
      </c>
      <c r="BO20" s="543">
        <f t="shared" si="53"/>
        <v>4.8000000000000001E-2</v>
      </c>
      <c r="BP20" s="543"/>
      <c r="BR20" s="470">
        <f t="shared" si="54"/>
        <v>48</v>
      </c>
      <c r="BS20" s="543">
        <f t="shared" si="38"/>
        <v>3.4352433978013953E-3</v>
      </c>
      <c r="BT20" s="543">
        <f t="shared" si="39"/>
        <v>1.3406861865356503E-2</v>
      </c>
      <c r="BU20" s="543">
        <f t="shared" si="40"/>
        <v>0</v>
      </c>
      <c r="BV20" s="543">
        <f t="shared" si="41"/>
        <v>1.6578947368421058E-2</v>
      </c>
      <c r="BW20" s="470">
        <f t="shared" si="55"/>
        <v>33.421052631578952</v>
      </c>
      <c r="BX20" s="178">
        <f t="shared" si="56"/>
        <v>0.21514502161181287</v>
      </c>
      <c r="BY20" s="6">
        <f t="shared" si="57"/>
        <v>1.44</v>
      </c>
      <c r="BZ20" s="178">
        <f t="shared" si="58"/>
        <v>0.87001439825357385</v>
      </c>
      <c r="CA20" s="6">
        <f t="shared" si="59"/>
        <v>87.00143982535738</v>
      </c>
      <c r="CD20" s="577">
        <f t="shared" si="42"/>
        <v>-50</v>
      </c>
      <c r="CE20">
        <f t="shared" si="43"/>
        <v>-50</v>
      </c>
    </row>
    <row r="21" spans="5:83" s="77" customFormat="1" x14ac:dyDescent="0.2">
      <c r="E21" s="194">
        <v>16</v>
      </c>
      <c r="F21" s="334">
        <f t="shared" si="44"/>
        <v>0.128</v>
      </c>
      <c r="G21" s="222"/>
      <c r="H21" s="222">
        <f t="shared" si="0"/>
        <v>1.536</v>
      </c>
      <c r="I21" s="556">
        <f t="shared" si="1"/>
        <v>13.5</v>
      </c>
      <c r="J21" s="177">
        <f t="shared" si="2"/>
        <v>12.25</v>
      </c>
      <c r="K21" s="550">
        <f t="shared" si="3"/>
        <v>25.75</v>
      </c>
      <c r="L21" s="550"/>
      <c r="M21" s="334">
        <f t="shared" si="4"/>
        <v>0.47572815533980584</v>
      </c>
      <c r="N21" s="177">
        <f t="shared" si="5"/>
        <v>12.507487864077669</v>
      </c>
      <c r="O21" s="177">
        <f t="shared" si="45"/>
        <v>1.536</v>
      </c>
      <c r="P21" s="334">
        <f t="shared" si="6"/>
        <v>1.0422906553398057</v>
      </c>
      <c r="Q21" s="222">
        <f t="shared" si="7"/>
        <v>12</v>
      </c>
      <c r="R21" s="222">
        <f t="shared" si="8"/>
        <v>1.0971480582524269</v>
      </c>
      <c r="S21" s="177">
        <f t="shared" si="9"/>
        <v>191.91795338684719</v>
      </c>
      <c r="T21" s="177">
        <f t="shared" si="10"/>
        <v>12</v>
      </c>
      <c r="U21" s="222">
        <f t="shared" si="11"/>
        <v>0.50350638501014444</v>
      </c>
      <c r="V21" s="334">
        <f t="shared" si="12"/>
        <v>0.26107738482007492</v>
      </c>
      <c r="W21" s="222">
        <f t="shared" si="13"/>
        <v>0.2877179342915111</v>
      </c>
      <c r="X21" s="552">
        <f t="shared" si="14"/>
        <v>350</v>
      </c>
      <c r="Y21" s="550">
        <f t="shared" si="46"/>
        <v>350</v>
      </c>
      <c r="AA21" s="334">
        <f t="shared" si="15"/>
        <v>2.6213592233009715</v>
      </c>
      <c r="AB21" s="178">
        <f t="shared" si="16"/>
        <v>1.4979195561719838</v>
      </c>
      <c r="AC21" s="553">
        <f t="shared" si="17"/>
        <v>0.68715241775850722</v>
      </c>
      <c r="AD21" s="553"/>
      <c r="AE21" s="178">
        <f t="shared" si="18"/>
        <v>0.46857142857142853</v>
      </c>
      <c r="AF21" s="560">
        <f>MAX(12, F21/(0.5*AE21/1000000*Isw_min*Nps)/1000)</f>
        <v>666.27007733491985</v>
      </c>
      <c r="AG21" s="543">
        <f t="shared" si="19"/>
        <v>6.723999999999998E-2</v>
      </c>
      <c r="AH21"/>
      <c r="AI21" s="178">
        <f t="shared" si="20"/>
        <v>1.1607620001760188</v>
      </c>
      <c r="AJ21" s="178">
        <f t="shared" si="21"/>
        <v>1.1607620001760188</v>
      </c>
      <c r="AK21" s="178">
        <f t="shared" si="22"/>
        <v>1.4524162964266807</v>
      </c>
      <c r="AM21" s="560">
        <f t="shared" si="23"/>
        <v>128</v>
      </c>
      <c r="AN21" s="470">
        <f t="shared" si="24"/>
        <v>350</v>
      </c>
      <c r="AP21">
        <f t="shared" si="25"/>
        <v>128</v>
      </c>
      <c r="AQ21" s="470">
        <f t="shared" si="26"/>
        <v>350</v>
      </c>
      <c r="AR21" s="470"/>
      <c r="AS21" s="6">
        <f t="shared" si="47"/>
        <v>2.8571428571428572</v>
      </c>
      <c r="AT21" s="6">
        <f t="shared" si="27"/>
        <v>0.60187659268386162</v>
      </c>
      <c r="AU21" s="6">
        <f t="shared" si="48"/>
        <v>2.2552662644589958</v>
      </c>
      <c r="AV21" s="6">
        <f t="shared" si="28"/>
        <v>0.66329257152915355</v>
      </c>
      <c r="AW21" s="178">
        <f t="shared" si="49"/>
        <v>0.21065680743935156</v>
      </c>
      <c r="AX21" s="178">
        <f t="shared" si="29"/>
        <v>1.6505263157894743</v>
      </c>
      <c r="AY21" s="178">
        <f t="shared" si="30"/>
        <v>0.45811979151101134</v>
      </c>
      <c r="AZ21" s="178">
        <f t="shared" si="50"/>
        <v>3.6028269163957356</v>
      </c>
      <c r="BA21" s="470">
        <f>L*Isw_max^2/(2*Vout_ripple*Vout)*1000000000*((1+M21)/2)^2</f>
        <v>22.244671714791423</v>
      </c>
      <c r="BB21" s="470">
        <f>L*F21^2/(2*Cout*Vout*Nps^2)*1000000000*((1+M21)/(1-M21))^2+F21*RCoutEsr</f>
        <v>1.1895797410228721</v>
      </c>
      <c r="BC21" s="6">
        <f t="shared" si="31"/>
        <v>0.40015467269759791</v>
      </c>
      <c r="BD21" s="470">
        <f>((BY21/I21/Efficiency)*AU21/Cin+(BY21/I21/Efficiency)*RCinEsr)*1000</f>
        <v>27.369738652701894</v>
      </c>
      <c r="BE21" s="6"/>
      <c r="BF21" s="178">
        <f t="shared" si="51"/>
        <v>0.30758864848123996</v>
      </c>
      <c r="BG21" s="178">
        <f t="shared" si="32"/>
        <v>0.5954091285351848</v>
      </c>
      <c r="BH21" s="178"/>
      <c r="BI21" s="543">
        <f t="shared" si="33"/>
        <v>1.0407185434196739E-2</v>
      </c>
      <c r="BJ21" s="543">
        <f t="shared" si="34"/>
        <v>5.2306837632931848E-2</v>
      </c>
      <c r="BK21" s="543">
        <f t="shared" si="35"/>
        <v>1.7499999999999998E-2</v>
      </c>
      <c r="BL21" s="543">
        <f t="shared" si="36"/>
        <v>5.2216171874999995E-2</v>
      </c>
      <c r="BM21">
        <f t="shared" si="37"/>
        <v>3.9150000000000001E-3</v>
      </c>
      <c r="BN21" s="470">
        <f t="shared" si="52"/>
        <v>136.34519494212861</v>
      </c>
      <c r="BO21" s="543">
        <f t="shared" si="53"/>
        <v>5.1200000000000002E-2</v>
      </c>
      <c r="BP21" s="543"/>
      <c r="BR21" s="470">
        <f t="shared" si="54"/>
        <v>51.2</v>
      </c>
      <c r="BS21" s="543">
        <f t="shared" si="38"/>
        <v>3.784431066980632E-3</v>
      </c>
      <c r="BT21" s="543">
        <f t="shared" si="39"/>
        <v>1.4180481213721128E-2</v>
      </c>
      <c r="BU21" s="543">
        <f t="shared" si="40"/>
        <v>0</v>
      </c>
      <c r="BV21" s="543">
        <f t="shared" si="41"/>
        <v>1.7684210526315795E-2</v>
      </c>
      <c r="BW21" s="470">
        <f t="shared" si="55"/>
        <v>35.649122807017555</v>
      </c>
      <c r="BX21" s="178">
        <f t="shared" si="56"/>
        <v>0.22319431774914614</v>
      </c>
      <c r="BY21" s="6">
        <f t="shared" si="57"/>
        <v>1.536</v>
      </c>
      <c r="BZ21" s="178">
        <f t="shared" si="58"/>
        <v>0.87312696755710373</v>
      </c>
      <c r="CA21" s="6">
        <f t="shared" si="59"/>
        <v>87.312696755710377</v>
      </c>
      <c r="CD21" s="577">
        <f t="shared" si="42"/>
        <v>-50</v>
      </c>
      <c r="CE21">
        <f t="shared" si="43"/>
        <v>-50</v>
      </c>
    </row>
    <row r="22" spans="5:83" x14ac:dyDescent="0.2">
      <c r="E22" s="175">
        <v>17</v>
      </c>
      <c r="F22" s="222">
        <f t="shared" si="44"/>
        <v>0.13600000000000001</v>
      </c>
      <c r="G22" s="222"/>
      <c r="H22" s="222">
        <f t="shared" si="0"/>
        <v>1.6320000000000001</v>
      </c>
      <c r="I22" s="556">
        <f t="shared" si="1"/>
        <v>13.5</v>
      </c>
      <c r="J22" s="177">
        <f t="shared" si="2"/>
        <v>12.25</v>
      </c>
      <c r="K22" s="452">
        <f t="shared" si="3"/>
        <v>25.75</v>
      </c>
      <c r="L22" s="452"/>
      <c r="M22" s="222">
        <f t="shared" si="4"/>
        <v>0.47572815533980584</v>
      </c>
      <c r="N22" s="177">
        <f t="shared" si="5"/>
        <v>12.507487864077669</v>
      </c>
      <c r="O22" s="177">
        <f t="shared" si="45"/>
        <v>1.6320000000000001</v>
      </c>
      <c r="P22" s="222">
        <f t="shared" si="6"/>
        <v>1.0422906553398057</v>
      </c>
      <c r="Q22" s="222">
        <f t="shared" si="7"/>
        <v>12</v>
      </c>
      <c r="R22" s="222">
        <f t="shared" si="8"/>
        <v>1.0971480582524269</v>
      </c>
      <c r="S22" s="177">
        <f t="shared" si="9"/>
        <v>179.83675567318659</v>
      </c>
      <c r="T22" s="177">
        <f t="shared" si="10"/>
        <v>12</v>
      </c>
      <c r="U22" s="222">
        <f t="shared" si="11"/>
        <v>0.53497553407327847</v>
      </c>
      <c r="V22" s="222">
        <f t="shared" si="12"/>
        <v>0.27739472137132953</v>
      </c>
      <c r="W22" s="222">
        <f t="shared" si="13"/>
        <v>0.30570030518473057</v>
      </c>
      <c r="X22" s="202">
        <f t="shared" si="14"/>
        <v>350</v>
      </c>
      <c r="Y22" s="452">
        <f t="shared" si="46"/>
        <v>350</v>
      </c>
      <c r="AA22" s="222">
        <f t="shared" si="15"/>
        <v>2.6213592233009715</v>
      </c>
      <c r="AB22" s="178">
        <f t="shared" si="16"/>
        <v>1.4979195561719838</v>
      </c>
      <c r="AC22" s="178">
        <f t="shared" si="17"/>
        <v>0.68715241775850722</v>
      </c>
      <c r="AD22" s="178"/>
      <c r="AE22" s="178">
        <f t="shared" si="18"/>
        <v>0.46857142857142853</v>
      </c>
      <c r="AF22" s="560">
        <f>MAX(12, F22/(0.5*AE22/1000000*Isw_min*Nps)/1000)</f>
        <v>707.91195716835227</v>
      </c>
      <c r="AG22" s="543">
        <f t="shared" si="19"/>
        <v>6.723999999999998E-2</v>
      </c>
      <c r="AI22" s="178">
        <f t="shared" si="20"/>
        <v>1.1964860832322377</v>
      </c>
      <c r="AJ22" s="178">
        <f t="shared" si="21"/>
        <v>1.1964860832322377</v>
      </c>
      <c r="AK22" s="178">
        <f t="shared" si="22"/>
        <v>1.4788785801720279</v>
      </c>
      <c r="AM22" s="560">
        <f t="shared" si="23"/>
        <v>136</v>
      </c>
      <c r="AN22" s="470">
        <f t="shared" si="24"/>
        <v>350</v>
      </c>
      <c r="AP22">
        <f t="shared" si="25"/>
        <v>136</v>
      </c>
      <c r="AQ22" s="470">
        <f t="shared" si="26"/>
        <v>350</v>
      </c>
      <c r="AR22" s="470"/>
      <c r="AS22" s="6">
        <f t="shared" si="47"/>
        <v>2.8571428571428572</v>
      </c>
      <c r="AT22" s="6">
        <f t="shared" si="27"/>
        <v>0.62040019130560464</v>
      </c>
      <c r="AU22" s="6">
        <f t="shared" si="48"/>
        <v>2.2367426658372525</v>
      </c>
      <c r="AV22" s="6">
        <f t="shared" si="28"/>
        <v>0.68370633327556429</v>
      </c>
      <c r="AW22" s="178">
        <f t="shared" si="49"/>
        <v>0.21714006695696161</v>
      </c>
      <c r="AX22" s="178">
        <f t="shared" si="29"/>
        <v>1.753684210526316</v>
      </c>
      <c r="AY22" s="178">
        <f t="shared" si="30"/>
        <v>0.46834050750305839</v>
      </c>
      <c r="AZ22" s="178">
        <f t="shared" si="50"/>
        <v>3.7444640863461163</v>
      </c>
      <c r="BA22" s="470">
        <f>L*Isw_max^2/(2*Vout_ripple*Vout)*1000000000*((1+M22)/2)^2</f>
        <v>22.244671714791423</v>
      </c>
      <c r="BB22" s="470">
        <f>L*F22^2/(2*Cout*Vout*Nps^2)*1000000000*((1+M22)/(1-M22))^2+F22*RCoutEsr</f>
        <v>1.3174240045141019</v>
      </c>
      <c r="BC22" s="6">
        <f t="shared" si="31"/>
        <v>0.42167225825097343</v>
      </c>
      <c r="BD22" s="470">
        <f>((BY22/I22/Efficiency)*AU22/Cin+(BY22/I22/Efficiency)*RCinEsr)*1000</f>
        <v>28.844631817905626</v>
      </c>
      <c r="BE22" s="6"/>
      <c r="BF22" s="178">
        <f t="shared" si="51"/>
        <v>0.32189705833063859</v>
      </c>
      <c r="BG22" s="178">
        <f t="shared" si="32"/>
        <v>0.6112080384731714</v>
      </c>
      <c r="BH22" s="178"/>
      <c r="BI22" s="543">
        <f t="shared" si="33"/>
        <v>1.1397948777811041E-2</v>
      </c>
      <c r="BJ22" s="543">
        <f t="shared" si="34"/>
        <v>5.3916654125652712E-2</v>
      </c>
      <c r="BK22" s="543">
        <f t="shared" si="35"/>
        <v>1.7499999999999998E-2</v>
      </c>
      <c r="BL22" s="543">
        <f t="shared" si="36"/>
        <v>5.2216171874999995E-2</v>
      </c>
      <c r="BM22">
        <f t="shared" si="37"/>
        <v>3.9150000000000001E-3</v>
      </c>
      <c r="BN22" s="470">
        <f t="shared" si="52"/>
        <v>138.94577477846377</v>
      </c>
      <c r="BO22" s="543">
        <f t="shared" si="53"/>
        <v>5.4400000000000004E-2</v>
      </c>
      <c r="BP22" s="543"/>
      <c r="BR22" s="470">
        <f t="shared" si="54"/>
        <v>54.400000000000006</v>
      </c>
      <c r="BS22" s="543">
        <f t="shared" si="38"/>
        <v>4.1447086464767424E-3</v>
      </c>
      <c r="BT22" s="543">
        <f t="shared" si="39"/>
        <v>1.4943010651768871E-2</v>
      </c>
      <c r="BU22" s="543">
        <f t="shared" si="40"/>
        <v>0</v>
      </c>
      <c r="BV22" s="543">
        <f t="shared" si="41"/>
        <v>1.8789473684210529E-2</v>
      </c>
      <c r="BW22" s="470">
        <f t="shared" si="55"/>
        <v>37.877192982456144</v>
      </c>
      <c r="BX22" s="178">
        <f t="shared" si="56"/>
        <v>0.23122296776091988</v>
      </c>
      <c r="BY22" s="6">
        <f t="shared" si="57"/>
        <v>1.6320000000000001</v>
      </c>
      <c r="BZ22" s="178">
        <f t="shared" si="58"/>
        <v>0.87590161147552503</v>
      </c>
      <c r="CA22" s="6">
        <f t="shared" si="59"/>
        <v>87.590161147552507</v>
      </c>
      <c r="CD22" s="577">
        <f t="shared" si="42"/>
        <v>-50</v>
      </c>
      <c r="CE22">
        <f t="shared" si="43"/>
        <v>-50</v>
      </c>
    </row>
    <row r="23" spans="5:83" x14ac:dyDescent="0.2">
      <c r="E23" s="175">
        <v>18</v>
      </c>
      <c r="F23" s="222">
        <f t="shared" si="44"/>
        <v>0.14399999999999999</v>
      </c>
      <c r="G23" s="222"/>
      <c r="H23" s="222">
        <f t="shared" si="0"/>
        <v>1.7279999999999998</v>
      </c>
      <c r="I23" s="556">
        <f t="shared" si="1"/>
        <v>13.5</v>
      </c>
      <c r="J23" s="177">
        <f t="shared" si="2"/>
        <v>12.25</v>
      </c>
      <c r="K23" s="452">
        <f t="shared" si="3"/>
        <v>25.75</v>
      </c>
      <c r="L23" s="452"/>
      <c r="M23" s="222">
        <f t="shared" si="4"/>
        <v>0.47572815533980584</v>
      </c>
      <c r="N23" s="177">
        <f t="shared" si="5"/>
        <v>12.507487864077669</v>
      </c>
      <c r="O23" s="177">
        <f t="shared" si="45"/>
        <v>1.7279999999999998</v>
      </c>
      <c r="P23" s="222">
        <f t="shared" si="6"/>
        <v>1.0422906553398057</v>
      </c>
      <c r="Q23" s="222">
        <f t="shared" si="7"/>
        <v>12</v>
      </c>
      <c r="R23" s="222">
        <f t="shared" si="8"/>
        <v>1.0971480582524269</v>
      </c>
      <c r="S23" s="177">
        <f t="shared" si="9"/>
        <v>169.09805436979738</v>
      </c>
      <c r="T23" s="177">
        <f t="shared" si="10"/>
        <v>12</v>
      </c>
      <c r="U23" s="222">
        <f t="shared" si="11"/>
        <v>0.56644468313641239</v>
      </c>
      <c r="V23" s="222">
        <f t="shared" si="12"/>
        <v>0.2937120579225842</v>
      </c>
      <c r="W23" s="222">
        <f t="shared" si="13"/>
        <v>0.32368267607794993</v>
      </c>
      <c r="X23" s="202">
        <f t="shared" si="14"/>
        <v>350</v>
      </c>
      <c r="Y23" s="452">
        <f t="shared" si="46"/>
        <v>350</v>
      </c>
      <c r="AA23" s="222">
        <f t="shared" si="15"/>
        <v>2.6213592233009715</v>
      </c>
      <c r="AB23" s="178">
        <f t="shared" si="16"/>
        <v>1.4979195561719838</v>
      </c>
      <c r="AC23" s="178">
        <f t="shared" si="17"/>
        <v>0.68715241775850722</v>
      </c>
      <c r="AD23" s="178"/>
      <c r="AE23" s="178">
        <f t="shared" si="18"/>
        <v>0.46857142857142853</v>
      </c>
      <c r="AF23" s="560">
        <f>MAX(12, F23/(0.5*AE23/1000000*Isw_min*Nps)/1000)</f>
        <v>749.5538370017847</v>
      </c>
      <c r="AG23" s="543">
        <f t="shared" si="19"/>
        <v>6.723999999999998E-2</v>
      </c>
      <c r="AI23" s="178">
        <f t="shared" si="20"/>
        <v>1.231174022502185</v>
      </c>
      <c r="AJ23" s="178">
        <f t="shared" si="21"/>
        <v>1.231174022502185</v>
      </c>
      <c r="AK23" s="178">
        <f t="shared" si="22"/>
        <v>1.5045733500016185</v>
      </c>
      <c r="AM23" s="560">
        <f t="shared" si="23"/>
        <v>144</v>
      </c>
      <c r="AN23" s="470">
        <f t="shared" si="24"/>
        <v>350</v>
      </c>
      <c r="AP23">
        <f t="shared" si="25"/>
        <v>144</v>
      </c>
      <c r="AQ23" s="470">
        <f t="shared" si="26"/>
        <v>350</v>
      </c>
      <c r="AR23" s="470"/>
      <c r="AS23" s="6">
        <f t="shared" si="47"/>
        <v>2.8571428571428572</v>
      </c>
      <c r="AT23" s="6">
        <f t="shared" si="27"/>
        <v>0.63838653018631808</v>
      </c>
      <c r="AU23" s="6">
        <f t="shared" si="48"/>
        <v>2.2187563269565391</v>
      </c>
      <c r="AV23" s="6">
        <f t="shared" si="28"/>
        <v>0.70352801285839139</v>
      </c>
      <c r="AW23" s="178">
        <f t="shared" si="49"/>
        <v>0.22343528556521133</v>
      </c>
      <c r="AX23" s="178">
        <f t="shared" si="29"/>
        <v>1.8568421052631583</v>
      </c>
      <c r="AY23" s="178">
        <f t="shared" si="30"/>
        <v>0.4780431516019697</v>
      </c>
      <c r="AZ23" s="178">
        <f t="shared" si="50"/>
        <v>3.8842562623074874</v>
      </c>
      <c r="BA23" s="470">
        <f>L*Isw_max^2/(2*Vout_ripple*Vout)*1000000000*((1+M23)/2)^2</f>
        <v>22.244671714791423</v>
      </c>
      <c r="BB23" s="470">
        <f>L*F23^2/(2*Cout*Vout*Nps^2)*1000000000*((1+M23)/(1-M23))^2+F23*RCoutEsr</f>
        <v>1.4515618597320725</v>
      </c>
      <c r="BC23" s="6">
        <f t="shared" si="31"/>
        <v>0.4428862531780694</v>
      </c>
      <c r="BD23" s="470">
        <f>((BY23/I23/Efficiency)*AU23/Cin+(BY23/I23/Efficiency)*RCinEsr)*1000</f>
        <v>30.299032615835465</v>
      </c>
      <c r="BE23" s="6"/>
      <c r="BF23" s="178">
        <f t="shared" si="51"/>
        <v>0.33599645529349115</v>
      </c>
      <c r="BG23" s="178">
        <f t="shared" si="32"/>
        <v>0.62639407717901185</v>
      </c>
      <c r="BH23" s="178"/>
      <c r="BI23" s="543">
        <f t="shared" si="33"/>
        <v>1.241829797667701E-2</v>
      </c>
      <c r="BJ23" s="543">
        <f t="shared" si="34"/>
        <v>5.547977938900471E-2</v>
      </c>
      <c r="BK23" s="543">
        <f t="shared" si="35"/>
        <v>1.7499999999999998E-2</v>
      </c>
      <c r="BL23" s="543">
        <f t="shared" si="36"/>
        <v>5.2216171874999995E-2</v>
      </c>
      <c r="BM23">
        <f t="shared" si="37"/>
        <v>3.9150000000000001E-3</v>
      </c>
      <c r="BN23" s="470">
        <f t="shared" si="52"/>
        <v>141.52924924068171</v>
      </c>
      <c r="BO23" s="543">
        <f t="shared" si="53"/>
        <v>5.7599999999999998E-2</v>
      </c>
      <c r="BP23" s="543"/>
      <c r="BR23" s="470">
        <f t="shared" si="54"/>
        <v>57.6</v>
      </c>
      <c r="BS23" s="543">
        <f t="shared" si="38"/>
        <v>4.5157447187916403E-3</v>
      </c>
      <c r="BT23" s="543">
        <f t="shared" si="39"/>
        <v>1.5694781596997835E-2</v>
      </c>
      <c r="BU23" s="543">
        <f t="shared" si="40"/>
        <v>0</v>
      </c>
      <c r="BV23" s="543">
        <f t="shared" si="41"/>
        <v>1.9894736842105267E-2</v>
      </c>
      <c r="BW23" s="470">
        <f t="shared" si="55"/>
        <v>40.10526315789474</v>
      </c>
      <c r="BX23" s="178">
        <f t="shared" si="56"/>
        <v>0.23923451239857646</v>
      </c>
      <c r="BY23" s="6">
        <f t="shared" si="57"/>
        <v>1.7279999999999998</v>
      </c>
      <c r="BZ23" s="178">
        <f t="shared" si="58"/>
        <v>0.87839044562771185</v>
      </c>
      <c r="CA23" s="6">
        <f t="shared" si="59"/>
        <v>87.839044562771178</v>
      </c>
      <c r="CD23" s="577">
        <f t="shared" si="42"/>
        <v>-50</v>
      </c>
      <c r="CE23">
        <f t="shared" si="43"/>
        <v>-50</v>
      </c>
    </row>
    <row r="24" spans="5:83" x14ac:dyDescent="0.2">
      <c r="E24" s="175">
        <v>19</v>
      </c>
      <c r="F24" s="222">
        <f t="shared" si="44"/>
        <v>0.15200000000000002</v>
      </c>
      <c r="G24" s="222"/>
      <c r="H24" s="222">
        <f t="shared" si="0"/>
        <v>1.8240000000000003</v>
      </c>
      <c r="I24" s="556">
        <f t="shared" si="1"/>
        <v>13.5</v>
      </c>
      <c r="J24" s="177">
        <f t="shared" si="2"/>
        <v>12.25</v>
      </c>
      <c r="K24" s="452">
        <f t="shared" si="3"/>
        <v>25.75</v>
      </c>
      <c r="L24" s="452"/>
      <c r="M24" s="222">
        <f t="shared" si="4"/>
        <v>0.47572815533980584</v>
      </c>
      <c r="N24" s="177">
        <f t="shared" si="5"/>
        <v>12.507487864077669</v>
      </c>
      <c r="O24" s="177">
        <f t="shared" si="45"/>
        <v>1.8240000000000003</v>
      </c>
      <c r="P24" s="222">
        <f t="shared" si="6"/>
        <v>1.0422906553398057</v>
      </c>
      <c r="Q24" s="222">
        <f t="shared" si="7"/>
        <v>12</v>
      </c>
      <c r="R24" s="222">
        <f t="shared" si="8"/>
        <v>1.0971480582524269</v>
      </c>
      <c r="S24" s="177">
        <f t="shared" si="9"/>
        <v>159.48987809925833</v>
      </c>
      <c r="T24" s="177">
        <f t="shared" si="10"/>
        <v>12</v>
      </c>
      <c r="U24" s="222">
        <f t="shared" si="11"/>
        <v>0.59791383219954652</v>
      </c>
      <c r="V24" s="222">
        <f t="shared" si="12"/>
        <v>0.31002939447383893</v>
      </c>
      <c r="W24" s="222">
        <f t="shared" si="13"/>
        <v>0.34166504697116945</v>
      </c>
      <c r="X24" s="202">
        <f t="shared" si="14"/>
        <v>350</v>
      </c>
      <c r="Y24" s="452">
        <f t="shared" si="46"/>
        <v>350</v>
      </c>
      <c r="AA24" s="222">
        <f t="shared" si="15"/>
        <v>2.6213592233009715</v>
      </c>
      <c r="AB24" s="178">
        <f t="shared" si="16"/>
        <v>1.4979195561719838</v>
      </c>
      <c r="AC24" s="178">
        <f t="shared" si="17"/>
        <v>0.68715241775850722</v>
      </c>
      <c r="AD24" s="178"/>
      <c r="AE24" s="178">
        <f t="shared" si="18"/>
        <v>0.46857142857142853</v>
      </c>
      <c r="AF24" s="560">
        <f>MAX(12, F24/(0.5*AE24/1000000*Isw_min*Nps)/1000)</f>
        <v>791.19571683521747</v>
      </c>
      <c r="AG24" s="543">
        <f t="shared" si="19"/>
        <v>6.723999999999998E-2</v>
      </c>
      <c r="AI24" s="178">
        <f t="shared" si="20"/>
        <v>1.264911064067352</v>
      </c>
      <c r="AJ24" s="178">
        <f t="shared" si="21"/>
        <v>1.264911064067352</v>
      </c>
      <c r="AK24" s="178">
        <f t="shared" si="22"/>
        <v>1.5295637511610014</v>
      </c>
      <c r="AM24" s="560">
        <f t="shared" si="23"/>
        <v>152.00000000000003</v>
      </c>
      <c r="AN24" s="470">
        <f t="shared" si="24"/>
        <v>350</v>
      </c>
      <c r="AP24">
        <f t="shared" si="25"/>
        <v>152.00000000000003</v>
      </c>
      <c r="AQ24" s="470">
        <f t="shared" si="26"/>
        <v>350</v>
      </c>
      <c r="AR24" s="470"/>
      <c r="AS24" s="6">
        <f t="shared" si="47"/>
        <v>2.8571428571428572</v>
      </c>
      <c r="AT24" s="6">
        <f t="shared" si="27"/>
        <v>0.65587981099788617</v>
      </c>
      <c r="AU24" s="6">
        <f t="shared" si="48"/>
        <v>2.2012630461449709</v>
      </c>
      <c r="AV24" s="6">
        <f t="shared" si="28"/>
        <v>0.72280632232420106</v>
      </c>
      <c r="AW24" s="178">
        <f t="shared" si="49"/>
        <v>0.22955793384926015</v>
      </c>
      <c r="AX24" s="178">
        <f t="shared" si="29"/>
        <v>1.9600000000000004</v>
      </c>
      <c r="AY24" s="178">
        <f t="shared" si="30"/>
        <v>0.48727034684849074</v>
      </c>
      <c r="AZ24" s="178">
        <f t="shared" si="50"/>
        <v>4.0224077099635869</v>
      </c>
      <c r="BA24" s="470">
        <f>L*Isw_max^2/(2*Vout_ripple*Vout)*1000000000*((1+M24)/2)^2</f>
        <v>22.244671714791423</v>
      </c>
      <c r="BB24" s="470">
        <f>L*F24^2/(2*Cout*Vout*Nps^2)*1000000000*((1+M24)/(1-M24))^2+F24*RCoutEsr</f>
        <v>1.5919933066767848</v>
      </c>
      <c r="BC24" s="6">
        <f t="shared" si="31"/>
        <v>0.46380521795317908</v>
      </c>
      <c r="BD24" s="470">
        <f>((BY24/I24/Efficiency)*AU24/Cin+(BY24/I24/Efficiency)*RCinEsr)*1000</f>
        <v>31.733518878506256</v>
      </c>
      <c r="BE24" s="6"/>
      <c r="BF24" s="178">
        <f t="shared" si="51"/>
        <v>0.34990126900732837</v>
      </c>
      <c r="BG24" s="178">
        <f t="shared" si="32"/>
        <v>0.64101671996945186</v>
      </c>
      <c r="BH24" s="178"/>
      <c r="BI24" s="543">
        <f t="shared" si="33"/>
        <v>1.3467398785823266E-2</v>
      </c>
      <c r="BJ24" s="543">
        <f t="shared" si="34"/>
        <v>5.700005482453506E-2</v>
      </c>
      <c r="BK24" s="543">
        <f t="shared" si="35"/>
        <v>1.7499999999999998E-2</v>
      </c>
      <c r="BL24" s="543">
        <f t="shared" si="36"/>
        <v>5.2216171874999995E-2</v>
      </c>
      <c r="BM24">
        <f t="shared" si="37"/>
        <v>3.9150000000000001E-3</v>
      </c>
      <c r="BN24" s="470">
        <f t="shared" si="52"/>
        <v>144.09862548535835</v>
      </c>
      <c r="BO24" s="543">
        <f t="shared" si="53"/>
        <v>6.0800000000000014E-2</v>
      </c>
      <c r="BP24" s="543"/>
      <c r="BR24" s="470">
        <f t="shared" si="54"/>
        <v>60.800000000000011</v>
      </c>
      <c r="BS24" s="543">
        <f t="shared" si="38"/>
        <v>4.8972359221175514E-3</v>
      </c>
      <c r="BT24" s="543">
        <f t="shared" si="39"/>
        <v>1.6436097411215787E-2</v>
      </c>
      <c r="BU24" s="543">
        <f t="shared" si="40"/>
        <v>0</v>
      </c>
      <c r="BV24" s="543">
        <f t="shared" si="41"/>
        <v>2.1000000000000012E-2</v>
      </c>
      <c r="BW24" s="470">
        <f t="shared" si="55"/>
        <v>42.33333333333335</v>
      </c>
      <c r="BX24" s="178">
        <f t="shared" si="56"/>
        <v>0.24723195881869173</v>
      </c>
      <c r="BY24" s="6">
        <f t="shared" si="57"/>
        <v>1.8240000000000003</v>
      </c>
      <c r="BZ24" s="178">
        <f t="shared" si="58"/>
        <v>0.88063531089984814</v>
      </c>
      <c r="CA24" s="6">
        <f t="shared" si="59"/>
        <v>88.063531089984821</v>
      </c>
      <c r="CD24" s="577">
        <f t="shared" si="42"/>
        <v>-50</v>
      </c>
      <c r="CE24">
        <f t="shared" si="43"/>
        <v>-50</v>
      </c>
    </row>
    <row r="25" spans="5:83" x14ac:dyDescent="0.2">
      <c r="E25" s="175">
        <v>20</v>
      </c>
      <c r="F25" s="222">
        <f t="shared" si="44"/>
        <v>0.16000000000000003</v>
      </c>
      <c r="G25" s="222"/>
      <c r="H25" s="222">
        <f t="shared" si="0"/>
        <v>1.9200000000000004</v>
      </c>
      <c r="I25" s="556">
        <f t="shared" si="1"/>
        <v>13.5</v>
      </c>
      <c r="J25" s="177">
        <f t="shared" si="2"/>
        <v>12.25</v>
      </c>
      <c r="K25" s="452">
        <f t="shared" si="3"/>
        <v>25.75</v>
      </c>
      <c r="L25" s="452"/>
      <c r="M25" s="222">
        <f t="shared" si="4"/>
        <v>0.47572815533980584</v>
      </c>
      <c r="N25" s="177">
        <f t="shared" si="5"/>
        <v>12.507487864077669</v>
      </c>
      <c r="O25" s="177">
        <f t="shared" si="45"/>
        <v>1.9200000000000004</v>
      </c>
      <c r="P25" s="222">
        <f t="shared" si="6"/>
        <v>1.0422906553398057</v>
      </c>
      <c r="Q25" s="222">
        <f t="shared" si="7"/>
        <v>12</v>
      </c>
      <c r="R25" s="222">
        <f t="shared" si="8"/>
        <v>1.0971480582524269</v>
      </c>
      <c r="S25" s="177">
        <f t="shared" si="9"/>
        <v>150.8426497877816</v>
      </c>
      <c r="T25" s="177">
        <f t="shared" si="10"/>
        <v>12</v>
      </c>
      <c r="U25" s="222">
        <f t="shared" si="11"/>
        <v>0.62938298126268066</v>
      </c>
      <c r="V25" s="222">
        <f t="shared" si="12"/>
        <v>0.32634673102509365</v>
      </c>
      <c r="W25" s="222">
        <f t="shared" si="13"/>
        <v>0.35964741786438892</v>
      </c>
      <c r="X25" s="202">
        <f t="shared" si="14"/>
        <v>350</v>
      </c>
      <c r="Y25" s="452">
        <f t="shared" si="46"/>
        <v>350</v>
      </c>
      <c r="AA25" s="222">
        <f t="shared" si="15"/>
        <v>2.6213592233009715</v>
      </c>
      <c r="AB25" s="178">
        <f t="shared" si="16"/>
        <v>1.4979195561719838</v>
      </c>
      <c r="AC25" s="178">
        <f t="shared" si="17"/>
        <v>0.68715241775850722</v>
      </c>
      <c r="AD25" s="178"/>
      <c r="AE25" s="178">
        <f t="shared" si="18"/>
        <v>0.46857142857142853</v>
      </c>
      <c r="AF25" s="560">
        <f>MAX(12, F25/(0.5*AE25/1000000*Isw_min*Nps)/1000)</f>
        <v>832.83759666864989</v>
      </c>
      <c r="AG25" s="543">
        <f t="shared" si="19"/>
        <v>6.723999999999998E-2</v>
      </c>
      <c r="AI25" s="178">
        <f t="shared" si="20"/>
        <v>1.2977713690461006</v>
      </c>
      <c r="AJ25" s="178">
        <f t="shared" si="21"/>
        <v>1.2977713690461006</v>
      </c>
      <c r="AK25" s="178">
        <f t="shared" si="22"/>
        <v>1.5539047178119263</v>
      </c>
      <c r="AM25" s="560">
        <f t="shared" si="23"/>
        <v>160.00000000000003</v>
      </c>
      <c r="AN25" s="470">
        <f t="shared" si="24"/>
        <v>350</v>
      </c>
      <c r="AP25">
        <f t="shared" si="25"/>
        <v>160.00000000000003</v>
      </c>
      <c r="AQ25" s="470">
        <f t="shared" si="26"/>
        <v>350</v>
      </c>
      <c r="AR25" s="470"/>
      <c r="AS25" s="6">
        <f t="shared" si="47"/>
        <v>2.8571428571428572</v>
      </c>
      <c r="AT25" s="6">
        <f t="shared" si="27"/>
        <v>0.67291848765353357</v>
      </c>
      <c r="AU25" s="6">
        <f t="shared" si="48"/>
        <v>2.1842243694893235</v>
      </c>
      <c r="AV25" s="6">
        <f t="shared" si="28"/>
        <v>0.74158363945491457</v>
      </c>
      <c r="AW25" s="178">
        <f t="shared" si="49"/>
        <v>0.23552147067873674</v>
      </c>
      <c r="AX25" s="178">
        <f t="shared" si="29"/>
        <v>2.0631578947368432</v>
      </c>
      <c r="AY25" s="178">
        <f t="shared" si="30"/>
        <v>0.4960591738018027</v>
      </c>
      <c r="AZ25" s="178">
        <f t="shared" si="50"/>
        <v>4.1590963411174915</v>
      </c>
      <c r="BA25" s="470">
        <f>L*Isw_max^2/(2*Vout_ripple*Vout)*1000000000*((1+M25)/2)^2</f>
        <v>22.244671714791423</v>
      </c>
      <c r="BB25" s="470">
        <f>L*F25^2/(2*Cout*Vout*Nps^2)*1000000000*((1+M25)/(1-M25))^2+F25*RCoutEsr</f>
        <v>1.7387183453482384</v>
      </c>
      <c r="BC25" s="6">
        <f t="shared" si="31"/>
        <v>0.48443702715119502</v>
      </c>
      <c r="BD25" s="470">
        <f>((BY25/I25/Efficiency)*AU25/Cin+(BY25/I25/Efficiency)*RCinEsr)*1000</f>
        <v>33.148622139723216</v>
      </c>
      <c r="BE25" s="6"/>
      <c r="BF25" s="178">
        <f t="shared" si="51"/>
        <v>0.36362422915720022</v>
      </c>
      <c r="BG25" s="178">
        <f t="shared" si="32"/>
        <v>0.6551190187605318</v>
      </c>
      <c r="BH25" s="178"/>
      <c r="BI25" s="543">
        <f t="shared" si="33"/>
        <v>1.4544483803318487E-2</v>
      </c>
      <c r="BJ25" s="543">
        <f t="shared" si="34"/>
        <v>5.8480822317639909E-2</v>
      </c>
      <c r="BK25" s="543">
        <f t="shared" si="35"/>
        <v>1.7499999999999998E-2</v>
      </c>
      <c r="BL25" s="543">
        <f t="shared" si="36"/>
        <v>5.2216171874999995E-2</v>
      </c>
      <c r="BM25">
        <f t="shared" si="37"/>
        <v>3.9150000000000001E-3</v>
      </c>
      <c r="BN25" s="470">
        <f t="shared" si="52"/>
        <v>146.65647799595837</v>
      </c>
      <c r="BO25" s="543">
        <f t="shared" si="53"/>
        <v>6.4000000000000015E-2</v>
      </c>
      <c r="BP25" s="543"/>
      <c r="BR25" s="470">
        <f t="shared" si="54"/>
        <v>64.000000000000014</v>
      </c>
      <c r="BS25" s="543">
        <f t="shared" si="38"/>
        <v>5.2889032012067225E-3</v>
      </c>
      <c r="BT25" s="543">
        <f t="shared" si="39"/>
        <v>1.7167237149670479E-2</v>
      </c>
      <c r="BU25" s="543">
        <f t="shared" si="40"/>
        <v>0</v>
      </c>
      <c r="BV25" s="543">
        <f t="shared" si="41"/>
        <v>2.2105263157894749E-2</v>
      </c>
      <c r="BW25" s="470">
        <f t="shared" si="55"/>
        <v>44.561403508771953</v>
      </c>
      <c r="BX25" s="178">
        <f t="shared" si="56"/>
        <v>0.25521788150473035</v>
      </c>
      <c r="BY25" s="6">
        <f t="shared" si="57"/>
        <v>1.9200000000000004</v>
      </c>
      <c r="BZ25" s="178">
        <f t="shared" si="58"/>
        <v>0.88267019884546905</v>
      </c>
      <c r="CA25" s="6">
        <f t="shared" si="59"/>
        <v>88.267019884546897</v>
      </c>
      <c r="CD25" s="577">
        <f t="shared" si="42"/>
        <v>-50</v>
      </c>
      <c r="CE25">
        <f t="shared" si="43"/>
        <v>-50</v>
      </c>
    </row>
    <row r="26" spans="5:83" x14ac:dyDescent="0.2">
      <c r="E26" s="175">
        <v>21</v>
      </c>
      <c r="F26" s="222">
        <f t="shared" si="44"/>
        <v>0.16800000000000001</v>
      </c>
      <c r="G26" s="222"/>
      <c r="H26" s="222">
        <f t="shared" si="0"/>
        <v>2.016</v>
      </c>
      <c r="I26" s="556">
        <f t="shared" si="1"/>
        <v>13.5</v>
      </c>
      <c r="J26" s="177">
        <f t="shared" si="2"/>
        <v>12.25</v>
      </c>
      <c r="K26" s="452">
        <f t="shared" si="3"/>
        <v>25.75</v>
      </c>
      <c r="L26" s="452"/>
      <c r="M26" s="222">
        <f t="shared" si="4"/>
        <v>0.47572815533980584</v>
      </c>
      <c r="N26" s="177">
        <f t="shared" si="5"/>
        <v>12.507487864077669</v>
      </c>
      <c r="O26" s="177">
        <f t="shared" si="45"/>
        <v>2.016</v>
      </c>
      <c r="P26" s="222">
        <f t="shared" si="6"/>
        <v>1.0422906553398057</v>
      </c>
      <c r="Q26" s="222">
        <f t="shared" si="7"/>
        <v>12</v>
      </c>
      <c r="R26" s="222">
        <f t="shared" si="8"/>
        <v>1.0971480582524269</v>
      </c>
      <c r="S26" s="177">
        <f t="shared" si="9"/>
        <v>143.01909278395379</v>
      </c>
      <c r="T26" s="177">
        <f t="shared" si="10"/>
        <v>12</v>
      </c>
      <c r="U26" s="222">
        <f t="shared" si="11"/>
        <v>0.66085213032581458</v>
      </c>
      <c r="V26" s="222">
        <f t="shared" si="12"/>
        <v>0.34266406757634826</v>
      </c>
      <c r="W26" s="222">
        <f t="shared" si="13"/>
        <v>0.37762978875760828</v>
      </c>
      <c r="X26" s="202">
        <f t="shared" si="14"/>
        <v>350</v>
      </c>
      <c r="Y26" s="452">
        <f t="shared" si="46"/>
        <v>350</v>
      </c>
      <c r="AA26" s="222">
        <f t="shared" si="15"/>
        <v>2.6213592233009715</v>
      </c>
      <c r="AB26" s="178">
        <f t="shared" si="16"/>
        <v>1.4979195561719838</v>
      </c>
      <c r="AC26" s="178">
        <f t="shared" si="17"/>
        <v>0.68715241775850722</v>
      </c>
      <c r="AD26" s="178"/>
      <c r="AE26" s="178">
        <f t="shared" si="18"/>
        <v>0.46857142857142853</v>
      </c>
      <c r="AF26" s="560">
        <f>MAX(12, F26/(0.5*AE26/1000000*Isw_min*Nps)/1000)</f>
        <v>874.47947650208232</v>
      </c>
      <c r="AG26" s="543">
        <f t="shared" si="19"/>
        <v>6.723999999999998E-2</v>
      </c>
      <c r="AI26" s="178">
        <f t="shared" si="20"/>
        <v>1.3298199324087376</v>
      </c>
      <c r="AJ26" s="178">
        <f t="shared" si="21"/>
        <v>1.3298199324087376</v>
      </c>
      <c r="AK26" s="178">
        <f t="shared" si="22"/>
        <v>1.5776443943768426</v>
      </c>
      <c r="AM26" s="560">
        <f t="shared" si="23"/>
        <v>168</v>
      </c>
      <c r="AN26" s="470">
        <f t="shared" si="24"/>
        <v>350</v>
      </c>
      <c r="AP26">
        <f t="shared" si="25"/>
        <v>168</v>
      </c>
      <c r="AQ26" s="470">
        <f t="shared" si="26"/>
        <v>350</v>
      </c>
      <c r="AR26" s="470"/>
      <c r="AS26" s="6">
        <f t="shared" si="47"/>
        <v>2.8571428571428572</v>
      </c>
      <c r="AT26" s="6">
        <f t="shared" si="27"/>
        <v>0.68953626124897516</v>
      </c>
      <c r="AU26" s="6">
        <f t="shared" si="48"/>
        <v>2.1676065958938819</v>
      </c>
      <c r="AV26" s="6">
        <f t="shared" si="28"/>
        <v>0.75989710423356438</v>
      </c>
      <c r="AW26" s="178">
        <f t="shared" si="49"/>
        <v>0.24133769143714129</v>
      </c>
      <c r="AX26" s="178">
        <f t="shared" si="29"/>
        <v>2.1663157894736846</v>
      </c>
      <c r="AY26" s="178">
        <f t="shared" si="30"/>
        <v>0.50444212994705884</v>
      </c>
      <c r="AZ26" s="178">
        <f t="shared" si="50"/>
        <v>4.2944783174653542</v>
      </c>
      <c r="BA26" s="470">
        <f>L*Isw_max^2/(2*Vout_ripple*Vout)*1000000000*((1+M26)/2)^2</f>
        <v>22.244671714791423</v>
      </c>
      <c r="BB26" s="470">
        <f>L*F26^2/(2*Cout*Vout*Nps^2)*1000000000*((1+M26)/(1-M26))^2+F26*RCoutEsr</f>
        <v>1.8917369757464322</v>
      </c>
      <c r="BC26" s="6">
        <f t="shared" si="31"/>
        <v>0.50478895644468302</v>
      </c>
      <c r="BD26" s="470">
        <f>((BY26/I26/Efficiency)*AU26/Cin+(BY26/I26/Efficiency)*RCinEsr)*1000</f>
        <v>34.544833507384531</v>
      </c>
      <c r="BE26" s="6"/>
      <c r="BF26" s="178">
        <f t="shared" si="51"/>
        <v>0.37717664046215127</v>
      </c>
      <c r="BG26" s="178">
        <f t="shared" si="32"/>
        <v>0.66873871287686915</v>
      </c>
      <c r="BH26" s="178"/>
      <c r="BI26" s="543">
        <f t="shared" si="33"/>
        <v>1.5648843992134641E-2</v>
      </c>
      <c r="BJ26" s="543">
        <f t="shared" si="34"/>
        <v>5.9925010704168745E-2</v>
      </c>
      <c r="BK26" s="543">
        <f t="shared" si="35"/>
        <v>1.7499999999999998E-2</v>
      </c>
      <c r="BL26" s="543">
        <f t="shared" si="36"/>
        <v>5.2216171874999995E-2</v>
      </c>
      <c r="BM26">
        <f t="shared" si="37"/>
        <v>3.9150000000000001E-3</v>
      </c>
      <c r="BN26" s="470">
        <f t="shared" si="52"/>
        <v>149.20502657130339</v>
      </c>
      <c r="BO26" s="543">
        <f t="shared" si="53"/>
        <v>6.720000000000001E-2</v>
      </c>
      <c r="BP26" s="543"/>
      <c r="BR26" s="470">
        <f t="shared" si="54"/>
        <v>67.2</v>
      </c>
      <c r="BS26" s="543">
        <f t="shared" si="38"/>
        <v>5.6904887244125972E-3</v>
      </c>
      <c r="BT26" s="543">
        <f t="shared" si="39"/>
        <v>1.7888458644008464E-2</v>
      </c>
      <c r="BU26" s="543">
        <f t="shared" si="40"/>
        <v>0</v>
      </c>
      <c r="BV26" s="543">
        <f t="shared" si="41"/>
        <v>2.3210526315789487E-2</v>
      </c>
      <c r="BW26" s="470">
        <f t="shared" si="55"/>
        <v>46.789473684210549</v>
      </c>
      <c r="BX26" s="178">
        <f t="shared" si="56"/>
        <v>0.26319450025551394</v>
      </c>
      <c r="BY26" s="6">
        <f t="shared" si="57"/>
        <v>2.016</v>
      </c>
      <c r="BZ26" s="178">
        <f t="shared" si="58"/>
        <v>0.88452301888846785</v>
      </c>
      <c r="CA26" s="6">
        <f t="shared" si="59"/>
        <v>88.45230188884679</v>
      </c>
      <c r="CD26" s="577">
        <f t="shared" si="42"/>
        <v>-50</v>
      </c>
      <c r="CE26">
        <f t="shared" si="43"/>
        <v>-50</v>
      </c>
    </row>
    <row r="27" spans="5:83" x14ac:dyDescent="0.2">
      <c r="E27" s="175">
        <v>22</v>
      </c>
      <c r="F27" s="222">
        <f t="shared" si="44"/>
        <v>0.17600000000000002</v>
      </c>
      <c r="G27" s="222"/>
      <c r="H27" s="222">
        <f t="shared" si="0"/>
        <v>2.1120000000000001</v>
      </c>
      <c r="I27" s="556">
        <f t="shared" si="1"/>
        <v>13.5</v>
      </c>
      <c r="J27" s="177">
        <f t="shared" si="2"/>
        <v>12.25</v>
      </c>
      <c r="K27" s="452">
        <f t="shared" si="3"/>
        <v>25.75</v>
      </c>
      <c r="L27" s="452"/>
      <c r="M27" s="222">
        <f t="shared" si="4"/>
        <v>0.47572815533980584</v>
      </c>
      <c r="N27" s="177">
        <f t="shared" si="5"/>
        <v>12.507487864077669</v>
      </c>
      <c r="O27" s="177">
        <f t="shared" si="45"/>
        <v>2.1120000000000001</v>
      </c>
      <c r="P27" s="222">
        <f t="shared" si="6"/>
        <v>1.0422906553398057</v>
      </c>
      <c r="Q27" s="222">
        <f t="shared" si="7"/>
        <v>12</v>
      </c>
      <c r="R27" s="222">
        <f t="shared" si="8"/>
        <v>1.0971480582524269</v>
      </c>
      <c r="S27" s="177">
        <f t="shared" si="9"/>
        <v>135.90688985419752</v>
      </c>
      <c r="T27" s="177">
        <f t="shared" si="10"/>
        <v>12</v>
      </c>
      <c r="U27" s="222">
        <f t="shared" si="11"/>
        <v>0.69232127938894861</v>
      </c>
      <c r="V27" s="222">
        <f t="shared" si="12"/>
        <v>0.35898140412760299</v>
      </c>
      <c r="W27" s="222">
        <f t="shared" si="13"/>
        <v>0.3956121596508278</v>
      </c>
      <c r="X27" s="202">
        <f t="shared" si="14"/>
        <v>350</v>
      </c>
      <c r="Y27" s="452">
        <f t="shared" si="46"/>
        <v>350</v>
      </c>
      <c r="AA27" s="222">
        <f t="shared" si="15"/>
        <v>2.6213592233009715</v>
      </c>
      <c r="AB27" s="178">
        <f t="shared" si="16"/>
        <v>1.4979195561719838</v>
      </c>
      <c r="AC27" s="178">
        <f t="shared" si="17"/>
        <v>0.68715241775850722</v>
      </c>
      <c r="AD27" s="178"/>
      <c r="AE27" s="178">
        <f t="shared" si="18"/>
        <v>0.46857142857142853</v>
      </c>
      <c r="AF27" s="560">
        <f>MAX(12, F27/(0.5*AE27/1000000*Isw_min*Nps)/1000)</f>
        <v>916.12135633551486</v>
      </c>
      <c r="AG27" s="543">
        <f t="shared" si="19"/>
        <v>6.723999999999998E-2</v>
      </c>
      <c r="AI27" s="178">
        <f t="shared" si="20"/>
        <v>1.3611140947574414</v>
      </c>
      <c r="AJ27" s="178">
        <f t="shared" si="21"/>
        <v>1.3611140947574414</v>
      </c>
      <c r="AK27" s="178">
        <f t="shared" si="22"/>
        <v>1.6008252553758826</v>
      </c>
      <c r="AM27" s="560">
        <f t="shared" si="23"/>
        <v>176.00000000000003</v>
      </c>
      <c r="AN27" s="470">
        <f t="shared" si="24"/>
        <v>350</v>
      </c>
      <c r="AP27">
        <f t="shared" si="25"/>
        <v>176.00000000000003</v>
      </c>
      <c r="AQ27" s="470">
        <f t="shared" si="26"/>
        <v>350</v>
      </c>
      <c r="AR27" s="470"/>
      <c r="AS27" s="6">
        <f t="shared" si="47"/>
        <v>2.8571428571428572</v>
      </c>
      <c r="AT27" s="6">
        <f t="shared" si="27"/>
        <v>0.7057628639483029</v>
      </c>
      <c r="AU27" s="6">
        <f t="shared" si="48"/>
        <v>2.1513799931945545</v>
      </c>
      <c r="AV27" s="6">
        <f t="shared" si="28"/>
        <v>0.77777948271853781</v>
      </c>
      <c r="AW27" s="178">
        <f t="shared" si="49"/>
        <v>0.24701700238190602</v>
      </c>
      <c r="AX27" s="178">
        <f t="shared" si="29"/>
        <v>2.269473684210527</v>
      </c>
      <c r="AY27" s="178">
        <f t="shared" si="30"/>
        <v>0.51244788558534826</v>
      </c>
      <c r="AZ27" s="178">
        <f t="shared" si="50"/>
        <v>4.4286916739215343</v>
      </c>
      <c r="BA27" s="470">
        <f>L*Isw_max^2/(2*Vout_ripple*Vout)*1000000000*((1+M27)/2)^2</f>
        <v>22.244671714791423</v>
      </c>
      <c r="BB27" s="470">
        <f>L*F27^2/(2*Cout*Vout*Nps^2)*1000000000*((1+M27)/(1-M27))^2+F27*RCoutEsr</f>
        <v>2.0510491978713681</v>
      </c>
      <c r="BC27" s="6">
        <f t="shared" si="31"/>
        <v>0.52486775489156301</v>
      </c>
      <c r="BD27" s="470">
        <f>((BY27/I27/Efficiency)*AU27/Cin+(BY27/I27/Efficiency)*RCinEsr)*1000</f>
        <v>35.922608542899802</v>
      </c>
      <c r="BE27" s="6"/>
      <c r="BF27" s="178">
        <f t="shared" si="51"/>
        <v>0.39056860223253848</v>
      </c>
      <c r="BG27" s="178">
        <f t="shared" si="32"/>
        <v>0.6819091043528045</v>
      </c>
      <c r="BH27" s="178"/>
      <c r="BI27" s="543">
        <f t="shared" si="33"/>
        <v>1.6779821635486674E-2</v>
      </c>
      <c r="BJ27" s="543">
        <f t="shared" si="34"/>
        <v>6.1335203895007198E-2</v>
      </c>
      <c r="BK27" s="543">
        <f t="shared" si="35"/>
        <v>1.7499999999999998E-2</v>
      </c>
      <c r="BL27" s="543">
        <f t="shared" si="36"/>
        <v>5.2216171874999995E-2</v>
      </c>
      <c r="BM27">
        <f t="shared" si="37"/>
        <v>3.9150000000000001E-3</v>
      </c>
      <c r="BN27" s="470">
        <f t="shared" si="52"/>
        <v>151.74619740549389</v>
      </c>
      <c r="BO27" s="543">
        <f t="shared" si="53"/>
        <v>7.0400000000000004E-2</v>
      </c>
      <c r="BP27" s="543"/>
      <c r="BR27" s="470">
        <f t="shared" si="54"/>
        <v>70.400000000000006</v>
      </c>
      <c r="BS27" s="543">
        <f t="shared" si="38"/>
        <v>6.1017533219951551E-3</v>
      </c>
      <c r="BT27" s="543">
        <f t="shared" si="39"/>
        <v>1.8600001063969761E-2</v>
      </c>
      <c r="BU27" s="543">
        <f t="shared" si="40"/>
        <v>0</v>
      </c>
      <c r="BV27" s="543">
        <f t="shared" si="41"/>
        <v>2.4315789473684225E-2</v>
      </c>
      <c r="BW27" s="470">
        <f t="shared" si="55"/>
        <v>49.017543859649138</v>
      </c>
      <c r="BX27" s="178">
        <f t="shared" si="56"/>
        <v>0.27116374126514303</v>
      </c>
      <c r="BY27" s="6">
        <f t="shared" si="57"/>
        <v>2.1120000000000001</v>
      </c>
      <c r="BZ27" s="178">
        <f t="shared" si="58"/>
        <v>0.88621690714327872</v>
      </c>
      <c r="CA27" s="6">
        <f t="shared" si="59"/>
        <v>88.621690714327869</v>
      </c>
      <c r="CD27" s="577">
        <f t="shared" si="42"/>
        <v>-50</v>
      </c>
      <c r="CE27">
        <f t="shared" si="43"/>
        <v>-50</v>
      </c>
    </row>
    <row r="28" spans="5:83" x14ac:dyDescent="0.2">
      <c r="E28" s="175">
        <v>23</v>
      </c>
      <c r="F28" s="222">
        <f t="shared" si="44"/>
        <v>0.18400000000000002</v>
      </c>
      <c r="G28" s="222"/>
      <c r="H28" s="222">
        <f t="shared" si="0"/>
        <v>2.2080000000000002</v>
      </c>
      <c r="I28" s="556">
        <f t="shared" si="1"/>
        <v>13.5</v>
      </c>
      <c r="J28" s="177">
        <f t="shared" si="2"/>
        <v>12.25</v>
      </c>
      <c r="K28" s="452">
        <f t="shared" si="3"/>
        <v>25.75</v>
      </c>
      <c r="L28" s="452"/>
      <c r="M28" s="222">
        <f t="shared" si="4"/>
        <v>0.47572815533980584</v>
      </c>
      <c r="N28" s="177">
        <f t="shared" si="5"/>
        <v>12.507487864077669</v>
      </c>
      <c r="O28" s="177">
        <f t="shared" si="45"/>
        <v>2.2080000000000002</v>
      </c>
      <c r="P28" s="222">
        <f t="shared" si="6"/>
        <v>1.0422906553398057</v>
      </c>
      <c r="Q28" s="222">
        <f t="shared" si="7"/>
        <v>12</v>
      </c>
      <c r="R28" s="222">
        <f t="shared" si="8"/>
        <v>1.0971480582524269</v>
      </c>
      <c r="S28" s="177">
        <f t="shared" si="9"/>
        <v>129.4132572229077</v>
      </c>
      <c r="T28" s="177">
        <f t="shared" si="10"/>
        <v>12</v>
      </c>
      <c r="U28" s="222">
        <f t="shared" si="11"/>
        <v>0.72379042845208263</v>
      </c>
      <c r="V28" s="222">
        <f t="shared" si="12"/>
        <v>0.37529874067885766</v>
      </c>
      <c r="W28" s="222">
        <f t="shared" si="13"/>
        <v>0.41359453054404721</v>
      </c>
      <c r="X28" s="202">
        <f t="shared" si="14"/>
        <v>350</v>
      </c>
      <c r="Y28" s="452">
        <f t="shared" si="46"/>
        <v>350</v>
      </c>
      <c r="AA28" s="222">
        <f t="shared" si="15"/>
        <v>2.6213592233009715</v>
      </c>
      <c r="AB28" s="178">
        <f t="shared" si="16"/>
        <v>1.4979195561719838</v>
      </c>
      <c r="AC28" s="178">
        <f t="shared" si="17"/>
        <v>0.68715241775850722</v>
      </c>
      <c r="AD28" s="178"/>
      <c r="AE28" s="178">
        <f t="shared" si="18"/>
        <v>0.46857142857142853</v>
      </c>
      <c r="AF28" s="560">
        <f>MAX(12, F28/(0.5*AE28/1000000*Isw_min*Nps)/1000)</f>
        <v>957.7632361689474</v>
      </c>
      <c r="AG28" s="543">
        <f t="shared" si="19"/>
        <v>6.723999999999998E-2</v>
      </c>
      <c r="AI28" s="178">
        <f t="shared" si="20"/>
        <v>1.3917047478769189</v>
      </c>
      <c r="AJ28" s="178">
        <f t="shared" si="21"/>
        <v>1.3917047478769189</v>
      </c>
      <c r="AK28" s="178">
        <f t="shared" si="22"/>
        <v>1.6234849984273474</v>
      </c>
      <c r="AM28" s="560">
        <f t="shared" si="23"/>
        <v>184.00000000000003</v>
      </c>
      <c r="AN28" s="470">
        <f t="shared" si="24"/>
        <v>350</v>
      </c>
      <c r="AP28">
        <f t="shared" si="25"/>
        <v>184.00000000000003</v>
      </c>
      <c r="AQ28" s="470">
        <f t="shared" si="26"/>
        <v>350</v>
      </c>
      <c r="AR28" s="470"/>
      <c r="AS28" s="6">
        <f t="shared" si="47"/>
        <v>2.8571428571428572</v>
      </c>
      <c r="AT28" s="6">
        <f t="shared" si="27"/>
        <v>0.72162468408432834</v>
      </c>
      <c r="AU28" s="6">
        <f t="shared" si="48"/>
        <v>2.1355181730585286</v>
      </c>
      <c r="AV28" s="6">
        <f t="shared" si="28"/>
        <v>0.79525985592966797</v>
      </c>
      <c r="AW28" s="178">
        <f t="shared" si="49"/>
        <v>0.25256863942951491</v>
      </c>
      <c r="AX28" s="178">
        <f t="shared" si="29"/>
        <v>2.3726315789473693</v>
      </c>
      <c r="AY28" s="178">
        <f t="shared" si="30"/>
        <v>0.52010188660902468</v>
      </c>
      <c r="AZ28" s="178">
        <f t="shared" si="50"/>
        <v>4.5618592049656295</v>
      </c>
      <c r="BA28" s="470">
        <f>L*Isw_max^2/(2*Vout_ripple*Vout)*1000000000*((1+M28)/2)^2</f>
        <v>22.244671714791423</v>
      </c>
      <c r="BB28" s="470">
        <f>L*F28^2/(2*Cout*Vout*Nps^2)*1000000000*((1+M28)/(1-M28))^2+F28*RCoutEsr</f>
        <v>2.216655011723045</v>
      </c>
      <c r="BC28" s="6">
        <f t="shared" si="31"/>
        <v>0.54467970556502576</v>
      </c>
      <c r="BD28" s="470">
        <f>((BY28/I28/Efficiency)*AU28/Cin+(BY28/I28/Efficiency)*RCinEsr)*1000</f>
        <v>37.282371353709408</v>
      </c>
      <c r="BE28" s="6"/>
      <c r="BF28" s="178">
        <f t="shared" si="51"/>
        <v>0.40380918567895951</v>
      </c>
      <c r="BG28" s="178">
        <f t="shared" si="32"/>
        <v>0.69465975603097596</v>
      </c>
      <c r="BH28" s="178"/>
      <c r="BI28" s="543">
        <f t="shared" si="33"/>
        <v>1.7936804428257486E-2</v>
      </c>
      <c r="BJ28" s="543">
        <f t="shared" si="34"/>
        <v>6.2713695201203651E-2</v>
      </c>
      <c r="BK28" s="543">
        <f t="shared" si="35"/>
        <v>1.7499999999999998E-2</v>
      </c>
      <c r="BL28" s="543">
        <f t="shared" si="36"/>
        <v>5.2216171874999995E-2</v>
      </c>
      <c r="BM28">
        <f t="shared" si="37"/>
        <v>3.9150000000000001E-3</v>
      </c>
      <c r="BN28" s="470">
        <f t="shared" si="52"/>
        <v>154.28167150446114</v>
      </c>
      <c r="BO28" s="543">
        <f t="shared" si="53"/>
        <v>7.3600000000000013E-2</v>
      </c>
      <c r="BP28" s="543"/>
      <c r="BR28" s="470">
        <f t="shared" si="54"/>
        <v>73.600000000000009</v>
      </c>
      <c r="BS28" s="543">
        <f t="shared" si="38"/>
        <v>6.5224743375481764E-3</v>
      </c>
      <c r="BT28" s="543">
        <f t="shared" si="39"/>
        <v>1.9302087065960604E-2</v>
      </c>
      <c r="BU28" s="543">
        <f t="shared" si="40"/>
        <v>0</v>
      </c>
      <c r="BV28" s="543">
        <f t="shared" si="41"/>
        <v>2.5421052631578959E-2</v>
      </c>
      <c r="BW28" s="470">
        <f t="shared" si="55"/>
        <v>51.24561403508774</v>
      </c>
      <c r="BX28" s="178">
        <f t="shared" si="56"/>
        <v>0.27912728553954891</v>
      </c>
      <c r="BY28" s="6">
        <f t="shared" si="57"/>
        <v>2.2080000000000002</v>
      </c>
      <c r="BZ28" s="178">
        <f t="shared" si="58"/>
        <v>0.88777121011762139</v>
      </c>
      <c r="CA28" s="6">
        <f t="shared" si="59"/>
        <v>88.777121011762134</v>
      </c>
      <c r="CD28" s="577">
        <f t="shared" si="42"/>
        <v>-50</v>
      </c>
      <c r="CE28">
        <f t="shared" si="43"/>
        <v>-50</v>
      </c>
    </row>
    <row r="29" spans="5:83" x14ac:dyDescent="0.2">
      <c r="E29" s="175">
        <v>24</v>
      </c>
      <c r="F29" s="222">
        <f t="shared" si="44"/>
        <v>0.192</v>
      </c>
      <c r="G29" s="222"/>
      <c r="H29" s="222">
        <f t="shared" si="0"/>
        <v>2.3040000000000003</v>
      </c>
      <c r="I29" s="556">
        <f t="shared" si="1"/>
        <v>13.5</v>
      </c>
      <c r="J29" s="177">
        <f t="shared" si="2"/>
        <v>12.25</v>
      </c>
      <c r="K29" s="452">
        <f t="shared" si="3"/>
        <v>25.75</v>
      </c>
      <c r="L29" s="452"/>
      <c r="M29" s="222">
        <f t="shared" si="4"/>
        <v>0.47572815533980584</v>
      </c>
      <c r="N29" s="177">
        <f t="shared" si="5"/>
        <v>12.507487864077669</v>
      </c>
      <c r="O29" s="177">
        <f t="shared" si="45"/>
        <v>2.3040000000000003</v>
      </c>
      <c r="P29" s="222">
        <f t="shared" si="6"/>
        <v>1.0422906553398057</v>
      </c>
      <c r="Q29" s="222">
        <f t="shared" si="7"/>
        <v>12</v>
      </c>
      <c r="R29" s="222">
        <f t="shared" si="8"/>
        <v>1.0971480582524269</v>
      </c>
      <c r="S29" s="177">
        <f t="shared" si="9"/>
        <v>123.46087510256662</v>
      </c>
      <c r="T29" s="177">
        <f t="shared" si="10"/>
        <v>12</v>
      </c>
      <c r="U29" s="222">
        <f t="shared" si="11"/>
        <v>0.75525957751521666</v>
      </c>
      <c r="V29" s="222">
        <f t="shared" si="12"/>
        <v>0.39161607723011232</v>
      </c>
      <c r="W29" s="222">
        <f t="shared" si="13"/>
        <v>0.43157690143726668</v>
      </c>
      <c r="X29" s="202">
        <f t="shared" si="14"/>
        <v>350</v>
      </c>
      <c r="Y29" s="452">
        <f t="shared" si="46"/>
        <v>350</v>
      </c>
      <c r="AA29" s="222">
        <f t="shared" si="15"/>
        <v>2.6213592233009715</v>
      </c>
      <c r="AB29" s="178">
        <f t="shared" si="16"/>
        <v>1.4979195561719838</v>
      </c>
      <c r="AC29" s="178">
        <f t="shared" si="17"/>
        <v>0.68715241775850722</v>
      </c>
      <c r="AD29" s="178"/>
      <c r="AE29" s="178">
        <f t="shared" si="18"/>
        <v>0.46857142857142853</v>
      </c>
      <c r="AF29" s="560">
        <f>MAX(12, F29/(0.5*AE29/1000000*Isw_min*Nps)/1000)</f>
        <v>999.40511600237983</v>
      </c>
      <c r="AG29" s="543">
        <f t="shared" si="19"/>
        <v>6.723999999999998E-2</v>
      </c>
      <c r="AI29" s="178">
        <f t="shared" si="20"/>
        <v>1.4216373066218218</v>
      </c>
      <c r="AJ29" s="178">
        <f t="shared" si="21"/>
        <v>1.4216373066218218</v>
      </c>
      <c r="AK29" s="178">
        <f t="shared" si="22"/>
        <v>1.6456572641643124</v>
      </c>
      <c r="AM29" s="560">
        <f t="shared" si="23"/>
        <v>192</v>
      </c>
      <c r="AN29" s="470">
        <f t="shared" si="24"/>
        <v>350</v>
      </c>
      <c r="AP29">
        <f t="shared" si="25"/>
        <v>192</v>
      </c>
      <c r="AQ29" s="470">
        <f t="shared" si="26"/>
        <v>350</v>
      </c>
      <c r="AR29" s="470"/>
      <c r="AS29" s="6">
        <f t="shared" si="47"/>
        <v>2.8571428571428572</v>
      </c>
      <c r="AT29" s="6">
        <f t="shared" si="27"/>
        <v>0.73714527010020392</v>
      </c>
      <c r="AU29" s="6">
        <f t="shared" si="48"/>
        <v>2.1199975870426533</v>
      </c>
      <c r="AV29" s="6">
        <f t="shared" si="28"/>
        <v>0.81236417521246962</v>
      </c>
      <c r="AW29" s="178">
        <f t="shared" si="49"/>
        <v>0.25800084453507138</v>
      </c>
      <c r="AX29" s="178">
        <f t="shared" si="29"/>
        <v>2.4757894736842103</v>
      </c>
      <c r="AY29" s="178">
        <f t="shared" si="30"/>
        <v>0.52742684044541377</v>
      </c>
      <c r="AZ29" s="178">
        <f t="shared" si="50"/>
        <v>4.6940907891479275</v>
      </c>
      <c r="BA29" s="470">
        <f>L*Isw_max^2/(2*Vout_ripple*Vout)*1000000000*((1+M29)/2)^2</f>
        <v>22.244671714791423</v>
      </c>
      <c r="BB29" s="470">
        <f>L*F29^2/(2*Cout*Vout*Nps^2)*1000000000*((1+M29)/(1-M29))^2+F29*RCoutEsr</f>
        <v>2.3885544173014628</v>
      </c>
      <c r="BC29" s="6">
        <f t="shared" si="31"/>
        <v>0.56423067683734307</v>
      </c>
      <c r="BD29" s="470">
        <f>((BY29/I29/Efficiency)*AU29/Cin+(BY29/I29/Efficiency)*RCinEsr)*1000</f>
        <v>38.624518054941717</v>
      </c>
      <c r="BE29" s="6"/>
      <c r="BF29" s="178">
        <f t="shared" si="51"/>
        <v>0.41690657858293906</v>
      </c>
      <c r="BG29" s="178">
        <f t="shared" si="32"/>
        <v>0.70701705443403806</v>
      </c>
      <c r="BH29" s="178"/>
      <c r="BI29" s="543">
        <f t="shared" si="33"/>
        <v>1.9119220479230557E-2</v>
      </c>
      <c r="BJ29" s="543">
        <f t="shared" si="34"/>
        <v>6.4062531129645842E-2</v>
      </c>
      <c r="BK29" s="543">
        <f t="shared" si="35"/>
        <v>1.7499999999999998E-2</v>
      </c>
      <c r="BL29" s="543">
        <f t="shared" si="36"/>
        <v>5.2216171874999995E-2</v>
      </c>
      <c r="BM29">
        <f t="shared" si="37"/>
        <v>3.9150000000000001E-3</v>
      </c>
      <c r="BN29" s="470">
        <f t="shared" si="52"/>
        <v>156.81292348387638</v>
      </c>
      <c r="BO29" s="543">
        <f t="shared" si="53"/>
        <v>7.6800000000000007E-2</v>
      </c>
      <c r="BP29" s="543"/>
      <c r="BR29" s="470">
        <f t="shared" si="54"/>
        <v>76.800000000000011</v>
      </c>
      <c r="BS29" s="543">
        <f t="shared" si="38"/>
        <v>6.9524438106292946E-3</v>
      </c>
      <c r="BT29" s="543">
        <f t="shared" si="39"/>
        <v>1.9994924610423341E-2</v>
      </c>
      <c r="BU29" s="543">
        <f t="shared" si="40"/>
        <v>0</v>
      </c>
      <c r="BV29" s="543">
        <f t="shared" si="41"/>
        <v>2.652631578947369E-2</v>
      </c>
      <c r="BW29" s="470">
        <f t="shared" si="55"/>
        <v>53.473684210526329</v>
      </c>
      <c r="BX29" s="178">
        <f t="shared" si="56"/>
        <v>0.2870866076944027</v>
      </c>
      <c r="BY29" s="6">
        <f t="shared" si="57"/>
        <v>2.3040000000000003</v>
      </c>
      <c r="BZ29" s="178">
        <f t="shared" si="58"/>
        <v>0.8892022339809561</v>
      </c>
      <c r="CA29" s="6">
        <f t="shared" si="59"/>
        <v>88.920223398095615</v>
      </c>
      <c r="CD29" s="577">
        <f t="shared" si="42"/>
        <v>-50</v>
      </c>
      <c r="CE29">
        <f t="shared" si="43"/>
        <v>-50</v>
      </c>
    </row>
    <row r="30" spans="5:83" x14ac:dyDescent="0.2">
      <c r="E30" s="175">
        <v>25</v>
      </c>
      <c r="F30" s="222">
        <f t="shared" si="44"/>
        <v>0.2</v>
      </c>
      <c r="G30" s="222"/>
      <c r="H30" s="222">
        <f t="shared" si="0"/>
        <v>2.4000000000000004</v>
      </c>
      <c r="I30" s="556">
        <f t="shared" si="1"/>
        <v>13.5</v>
      </c>
      <c r="J30" s="177">
        <f t="shared" si="2"/>
        <v>12.25</v>
      </c>
      <c r="K30" s="452">
        <f t="shared" si="3"/>
        <v>25.75</v>
      </c>
      <c r="L30" s="452"/>
      <c r="M30" s="222">
        <f t="shared" si="4"/>
        <v>0.47572815533980584</v>
      </c>
      <c r="N30" s="177">
        <f t="shared" si="5"/>
        <v>12.507487864077669</v>
      </c>
      <c r="O30" s="177">
        <f t="shared" si="45"/>
        <v>2.4000000000000004</v>
      </c>
      <c r="P30" s="222">
        <f t="shared" si="6"/>
        <v>1.0422906553398057</v>
      </c>
      <c r="Q30" s="222">
        <f t="shared" si="7"/>
        <v>12</v>
      </c>
      <c r="R30" s="222">
        <f t="shared" si="8"/>
        <v>1.0971480582524269</v>
      </c>
      <c r="S30" s="177">
        <f t="shared" si="9"/>
        <v>117.98479489664356</v>
      </c>
      <c r="T30" s="177">
        <f t="shared" si="10"/>
        <v>12</v>
      </c>
      <c r="U30" s="222">
        <f t="shared" si="11"/>
        <v>0.7867287265783508</v>
      </c>
      <c r="V30" s="222">
        <f t="shared" si="12"/>
        <v>0.40793341378136705</v>
      </c>
      <c r="W30" s="222">
        <f t="shared" si="13"/>
        <v>0.44955927233048615</v>
      </c>
      <c r="X30" s="202">
        <f t="shared" si="14"/>
        <v>350</v>
      </c>
      <c r="Y30" s="452">
        <f t="shared" si="46"/>
        <v>350</v>
      </c>
      <c r="AA30" s="222">
        <f t="shared" si="15"/>
        <v>2.6213592233009715</v>
      </c>
      <c r="AB30" s="178">
        <f t="shared" si="16"/>
        <v>1.4979195561719838</v>
      </c>
      <c r="AC30" s="178">
        <f t="shared" si="17"/>
        <v>0.68715241775850722</v>
      </c>
      <c r="AD30" s="178"/>
      <c r="AE30" s="178">
        <f t="shared" si="18"/>
        <v>0.46857142857142853</v>
      </c>
      <c r="AF30" s="560">
        <f>MAX(12, F30/(0.5*AE30/1000000*Isw_min*Nps)/1000)</f>
        <v>1041.0469958358124</v>
      </c>
      <c r="AG30" s="543">
        <f t="shared" si="19"/>
        <v>6.723999999999998E-2</v>
      </c>
      <c r="AI30" s="178">
        <f t="shared" si="20"/>
        <v>1.4509525002200234</v>
      </c>
      <c r="AJ30" s="178">
        <f t="shared" si="21"/>
        <v>1.4509525002200234</v>
      </c>
      <c r="AK30" s="178">
        <f t="shared" si="22"/>
        <v>1.6673722223852026</v>
      </c>
      <c r="AM30" s="560">
        <f t="shared" si="23"/>
        <v>200</v>
      </c>
      <c r="AN30" s="470">
        <f t="shared" si="24"/>
        <v>350</v>
      </c>
      <c r="AP30">
        <f t="shared" si="25"/>
        <v>200</v>
      </c>
      <c r="AQ30" s="470">
        <f t="shared" si="26"/>
        <v>350</v>
      </c>
      <c r="AR30" s="470"/>
      <c r="AS30" s="6">
        <f t="shared" si="47"/>
        <v>2.8571428571428572</v>
      </c>
      <c r="AT30" s="6">
        <f t="shared" si="27"/>
        <v>0.75234574085482686</v>
      </c>
      <c r="AU30" s="6">
        <f t="shared" si="48"/>
        <v>2.1047971162880303</v>
      </c>
      <c r="AV30" s="6">
        <f t="shared" si="28"/>
        <v>0.82911571441144183</v>
      </c>
      <c r="AW30" s="178">
        <f t="shared" si="49"/>
        <v>0.26332100929918939</v>
      </c>
      <c r="AX30" s="178">
        <f t="shared" si="29"/>
        <v>2.5789473684210531</v>
      </c>
      <c r="AY30" s="178">
        <f t="shared" si="30"/>
        <v>0.53444311170845227</v>
      </c>
      <c r="AZ30" s="178">
        <f t="shared" si="50"/>
        <v>4.8254852797652159</v>
      </c>
      <c r="BA30" s="470">
        <f>L*Isw_max^2/(2*Vout_ripple*Vout)*1000000000*((1+M30)/2)^2</f>
        <v>22.244671714791423</v>
      </c>
      <c r="BB30" s="470">
        <f>L*F30^2/(2*Cout*Vout*Nps^2)*1000000000*((1+M30)/(1-M30))^2+F30*RCoutEsr</f>
        <v>2.5667474146066223</v>
      </c>
      <c r="BC30" s="6">
        <f t="shared" si="31"/>
        <v>0.5835261660924147</v>
      </c>
      <c r="BD30" s="470">
        <f>((BY30/I30/Efficiency)*AU30/Cin+(BY30/I30/Efficiency)*RCinEsr)*1000</f>
        <v>39.949419720009935</v>
      </c>
      <c r="BE30" s="6"/>
      <c r="BF30" s="178">
        <f t="shared" si="51"/>
        <v>0.42986820444458745</v>
      </c>
      <c r="BG30" s="178">
        <f t="shared" si="32"/>
        <v>0.71900466811593011</v>
      </c>
      <c r="BH30" s="178"/>
      <c r="BI30" s="543">
        <f t="shared" si="33"/>
        <v>2.0326534051165499E-2</v>
      </c>
      <c r="BJ30" s="543">
        <f t="shared" si="34"/>
        <v>6.5383547041164808E-2</v>
      </c>
      <c r="BK30" s="543">
        <f t="shared" si="35"/>
        <v>1.7499999999999998E-2</v>
      </c>
      <c r="BL30" s="543">
        <f t="shared" si="36"/>
        <v>5.2216171874999995E-2</v>
      </c>
      <c r="BM30">
        <f t="shared" si="37"/>
        <v>3.9150000000000001E-3</v>
      </c>
      <c r="BN30" s="470">
        <f t="shared" si="52"/>
        <v>159.34125296733032</v>
      </c>
      <c r="BO30" s="543">
        <f t="shared" si="53"/>
        <v>8.0000000000000016E-2</v>
      </c>
      <c r="BP30" s="543"/>
      <c r="BR30" s="470">
        <f t="shared" si="54"/>
        <v>80.000000000000014</v>
      </c>
      <c r="BS30" s="543">
        <f t="shared" si="38"/>
        <v>7.3914669276965448E-3</v>
      </c>
      <c r="BT30" s="543">
        <f t="shared" si="39"/>
        <v>2.0678708510899951E-2</v>
      </c>
      <c r="BU30" s="543">
        <f t="shared" si="40"/>
        <v>0</v>
      </c>
      <c r="BV30" s="543">
        <f t="shared" si="41"/>
        <v>2.7631578947368427E-2</v>
      </c>
      <c r="BW30" s="470">
        <f t="shared" si="55"/>
        <v>55.701754385964918</v>
      </c>
      <c r="BX30" s="178">
        <f t="shared" si="56"/>
        <v>0.29504300735329525</v>
      </c>
      <c r="BY30" s="6">
        <f t="shared" si="57"/>
        <v>2.4000000000000004</v>
      </c>
      <c r="BZ30" s="178">
        <f t="shared" si="58"/>
        <v>0.89052382223649684</v>
      </c>
      <c r="CA30" s="6">
        <f t="shared" si="59"/>
        <v>89.052382223649687</v>
      </c>
      <c r="CD30" s="577">
        <f t="shared" si="42"/>
        <v>-50</v>
      </c>
      <c r="CE30">
        <f t="shared" si="43"/>
        <v>-50</v>
      </c>
    </row>
    <row r="31" spans="5:83" x14ac:dyDescent="0.2">
      <c r="E31" s="175">
        <v>26</v>
      </c>
      <c r="F31" s="222">
        <f t="shared" si="44"/>
        <v>0.20800000000000002</v>
      </c>
      <c r="G31" s="222"/>
      <c r="H31" s="222">
        <f t="shared" si="0"/>
        <v>2.4960000000000004</v>
      </c>
      <c r="I31" s="556">
        <f t="shared" si="1"/>
        <v>13.5</v>
      </c>
      <c r="J31" s="177">
        <f t="shared" si="2"/>
        <v>12.25</v>
      </c>
      <c r="K31" s="452">
        <f t="shared" si="3"/>
        <v>25.75</v>
      </c>
      <c r="L31" s="452"/>
      <c r="M31" s="222">
        <f t="shared" si="4"/>
        <v>0.47572815533980584</v>
      </c>
      <c r="N31" s="177">
        <f t="shared" si="5"/>
        <v>12.507487864077669</v>
      </c>
      <c r="O31" s="177">
        <f t="shared" si="45"/>
        <v>2.4960000000000004</v>
      </c>
      <c r="P31" s="222">
        <f t="shared" si="6"/>
        <v>1.0422906553398057</v>
      </c>
      <c r="Q31" s="222">
        <f t="shared" si="7"/>
        <v>12</v>
      </c>
      <c r="R31" s="222">
        <f t="shared" si="8"/>
        <v>1.0971480582524269</v>
      </c>
      <c r="S31" s="177">
        <f t="shared" si="9"/>
        <v>112.9300601249148</v>
      </c>
      <c r="T31" s="177">
        <f t="shared" si="10"/>
        <v>12</v>
      </c>
      <c r="U31" s="222">
        <f t="shared" si="11"/>
        <v>0.81819787564148483</v>
      </c>
      <c r="V31" s="222">
        <f t="shared" si="12"/>
        <v>0.42425075033262177</v>
      </c>
      <c r="W31" s="222">
        <f t="shared" si="13"/>
        <v>0.46754164322370562</v>
      </c>
      <c r="X31" s="202">
        <f t="shared" si="14"/>
        <v>350</v>
      </c>
      <c r="Y31" s="452">
        <f t="shared" si="46"/>
        <v>350</v>
      </c>
      <c r="AA31" s="222">
        <f t="shared" si="15"/>
        <v>2.6213592233009715</v>
      </c>
      <c r="AB31" s="178">
        <f t="shared" si="16"/>
        <v>1.4979195561719838</v>
      </c>
      <c r="AC31" s="178">
        <f t="shared" si="17"/>
        <v>0.68715241775850722</v>
      </c>
      <c r="AD31" s="178"/>
      <c r="AE31" s="178">
        <f t="shared" si="18"/>
        <v>0.46857142857142853</v>
      </c>
      <c r="AF31" s="560">
        <f>MAX(12, F31/(0.5*AE31/1000000*Isw_min*Nps)/1000)</f>
        <v>1082.6888756692449</v>
      </c>
      <c r="AG31" s="543">
        <f t="shared" si="19"/>
        <v>6.723999999999998E-2</v>
      </c>
      <c r="AI31" s="178">
        <f t="shared" si="20"/>
        <v>1.4796870223836278</v>
      </c>
      <c r="AJ31" s="178">
        <f t="shared" si="21"/>
        <v>1.4796870223836278</v>
      </c>
      <c r="AK31" s="178">
        <f t="shared" si="22"/>
        <v>1.6886570536175021</v>
      </c>
      <c r="AM31" s="560">
        <f t="shared" si="23"/>
        <v>208.00000000000003</v>
      </c>
      <c r="AN31" s="470">
        <f t="shared" si="24"/>
        <v>350</v>
      </c>
      <c r="AP31">
        <f t="shared" si="25"/>
        <v>208.00000000000003</v>
      </c>
      <c r="AQ31" s="470">
        <f t="shared" si="26"/>
        <v>350</v>
      </c>
      <c r="AR31" s="470"/>
      <c r="AS31" s="6">
        <f t="shared" si="47"/>
        <v>2.8571428571428572</v>
      </c>
      <c r="AT31" s="6">
        <f t="shared" si="27"/>
        <v>0.76724512271743672</v>
      </c>
      <c r="AU31" s="6">
        <f t="shared" si="48"/>
        <v>2.0898977344254206</v>
      </c>
      <c r="AV31" s="6">
        <f t="shared" si="28"/>
        <v>0.84553544136207304</v>
      </c>
      <c r="AW31" s="178">
        <f t="shared" si="49"/>
        <v>0.26853579295110286</v>
      </c>
      <c r="AX31" s="178">
        <f t="shared" si="29"/>
        <v>2.682105263157895</v>
      </c>
      <c r="AY31" s="178">
        <f t="shared" si="30"/>
        <v>0.54116904725419201</v>
      </c>
      <c r="AZ31" s="178">
        <f t="shared" si="50"/>
        <v>4.9561320566401239</v>
      </c>
      <c r="BA31" s="470">
        <f>L*Isw_max^2/(2*Vout_ripple*Vout)*1000000000*((1+M31)/2)^2</f>
        <v>22.244671714791423</v>
      </c>
      <c r="BB31" s="470">
        <f>L*F31^2/(2*Cout*Vout*Nps^2)*1000000000*((1+M31)/(1-M31))^2+F31*RCoutEsr</f>
        <v>2.7512340036385221</v>
      </c>
      <c r="BC31" s="6">
        <f t="shared" si="31"/>
        <v>0.60257133724650636</v>
      </c>
      <c r="BD31" s="470">
        <f>((BY31/I31/Efficiency)*AU31/Cin+(BY31/I31/Efficiency)*RCinEsr)*1000</f>
        <v>41.257424913261993</v>
      </c>
      <c r="BE31" s="6"/>
      <c r="BF31" s="178">
        <f t="shared" si="51"/>
        <v>0.44270082144907091</v>
      </c>
      <c r="BG31" s="178">
        <f t="shared" si="32"/>
        <v>0.73064392428311253</v>
      </c>
      <c r="BH31" s="178"/>
      <c r="BI31" s="543">
        <f t="shared" si="33"/>
        <v>2.1558241904285038E-2</v>
      </c>
      <c r="BJ31" s="543">
        <f t="shared" si="34"/>
        <v>6.6678396446162233E-2</v>
      </c>
      <c r="BK31" s="543">
        <f t="shared" si="35"/>
        <v>1.7499999999999998E-2</v>
      </c>
      <c r="BL31" s="543">
        <f t="shared" si="36"/>
        <v>5.2216171874999995E-2</v>
      </c>
      <c r="BM31">
        <f t="shared" si="37"/>
        <v>3.9150000000000001E-3</v>
      </c>
      <c r="BN31" s="470">
        <f t="shared" si="52"/>
        <v>161.86781022544727</v>
      </c>
      <c r="BO31" s="543">
        <f t="shared" si="53"/>
        <v>8.320000000000001E-2</v>
      </c>
      <c r="BP31" s="543"/>
      <c r="BR31" s="470">
        <f t="shared" si="54"/>
        <v>83.200000000000017</v>
      </c>
      <c r="BS31" s="543">
        <f t="shared" si="38"/>
        <v>7.8393606924672867E-3</v>
      </c>
      <c r="BT31" s="543">
        <f t="shared" si="39"/>
        <v>2.1353621763673069E-2</v>
      </c>
      <c r="BU31" s="543">
        <f t="shared" si="40"/>
        <v>0</v>
      </c>
      <c r="BV31" s="543">
        <f t="shared" si="41"/>
        <v>2.8736842105263165E-2</v>
      </c>
      <c r="BW31" s="470">
        <f t="shared" si="55"/>
        <v>57.929824561403521</v>
      </c>
      <c r="BX31" s="178">
        <f t="shared" si="56"/>
        <v>0.30299763478685077</v>
      </c>
      <c r="BY31" s="6">
        <f t="shared" si="57"/>
        <v>2.4960000000000004</v>
      </c>
      <c r="BZ31" s="178">
        <f t="shared" si="58"/>
        <v>0.89174780606417892</v>
      </c>
      <c r="CA31" s="6">
        <f t="shared" si="59"/>
        <v>89.174780606417897</v>
      </c>
      <c r="CD31" s="577">
        <f t="shared" si="42"/>
        <v>-50</v>
      </c>
      <c r="CE31">
        <f t="shared" si="43"/>
        <v>-50</v>
      </c>
    </row>
    <row r="32" spans="5:83" x14ac:dyDescent="0.2">
      <c r="E32" s="175">
        <v>27</v>
      </c>
      <c r="F32" s="222">
        <f t="shared" si="44"/>
        <v>0.21600000000000003</v>
      </c>
      <c r="G32" s="222"/>
      <c r="H32" s="222">
        <f t="shared" si="0"/>
        <v>2.5920000000000005</v>
      </c>
      <c r="I32" s="556">
        <f t="shared" si="1"/>
        <v>13.5</v>
      </c>
      <c r="J32" s="177">
        <f t="shared" si="2"/>
        <v>12.25</v>
      </c>
      <c r="K32" s="452">
        <f t="shared" si="3"/>
        <v>25.75</v>
      </c>
      <c r="L32" s="452"/>
      <c r="M32" s="222">
        <f t="shared" si="4"/>
        <v>0.47572815533980584</v>
      </c>
      <c r="N32" s="177">
        <f t="shared" si="5"/>
        <v>12.507487864077669</v>
      </c>
      <c r="O32" s="177">
        <f t="shared" si="45"/>
        <v>2.5920000000000005</v>
      </c>
      <c r="P32" s="222">
        <f t="shared" si="6"/>
        <v>1.0422906553398057</v>
      </c>
      <c r="Q32" s="222">
        <f t="shared" si="7"/>
        <v>12</v>
      </c>
      <c r="R32" s="222">
        <f t="shared" si="8"/>
        <v>1.0971480582524269</v>
      </c>
      <c r="S32" s="177">
        <f t="shared" si="9"/>
        <v>108.24985603205778</v>
      </c>
      <c r="T32" s="177">
        <f t="shared" si="10"/>
        <v>12</v>
      </c>
      <c r="U32" s="222">
        <f t="shared" si="11"/>
        <v>0.84966702470461886</v>
      </c>
      <c r="V32" s="222">
        <f t="shared" si="12"/>
        <v>0.44056808688387644</v>
      </c>
      <c r="W32" s="222">
        <f t="shared" si="13"/>
        <v>0.48552401411692508</v>
      </c>
      <c r="X32" s="202">
        <f t="shared" si="14"/>
        <v>350</v>
      </c>
      <c r="Y32" s="452">
        <f t="shared" si="46"/>
        <v>350</v>
      </c>
      <c r="AA32" s="222">
        <f t="shared" si="15"/>
        <v>2.6213592233009715</v>
      </c>
      <c r="AB32" s="178">
        <f t="shared" si="16"/>
        <v>1.4979195561719838</v>
      </c>
      <c r="AC32" s="178">
        <f t="shared" si="17"/>
        <v>0.68715241775850722</v>
      </c>
      <c r="AD32" s="178"/>
      <c r="AE32" s="178">
        <f t="shared" si="18"/>
        <v>0.46857142857142853</v>
      </c>
      <c r="AF32" s="560">
        <f>MAX(12, F32/(0.5*AE32/1000000*Isw_min*Nps)/1000)</f>
        <v>1124.3307555026772</v>
      </c>
      <c r="AG32" s="543">
        <f t="shared" si="19"/>
        <v>6.723999999999998E-2</v>
      </c>
      <c r="AI32" s="178">
        <f t="shared" si="20"/>
        <v>1.5078740698501039</v>
      </c>
      <c r="AJ32" s="178">
        <f t="shared" si="21"/>
        <v>1.5078740698501039</v>
      </c>
      <c r="AK32" s="178">
        <f t="shared" si="22"/>
        <v>1.709536348037114</v>
      </c>
      <c r="AM32" s="560">
        <f t="shared" si="23"/>
        <v>216.00000000000003</v>
      </c>
      <c r="AN32" s="470">
        <f t="shared" si="24"/>
        <v>350</v>
      </c>
      <c r="AP32">
        <f t="shared" si="25"/>
        <v>216.00000000000003</v>
      </c>
      <c r="AQ32" s="470">
        <f t="shared" si="26"/>
        <v>350</v>
      </c>
      <c r="AR32" s="470"/>
      <c r="AS32" s="6">
        <f t="shared" si="47"/>
        <v>2.8571428571428572</v>
      </c>
      <c r="AT32" s="6">
        <f t="shared" si="27"/>
        <v>0.78186062881116491</v>
      </c>
      <c r="AU32" s="6">
        <f t="shared" si="48"/>
        <v>2.0752822283316923</v>
      </c>
      <c r="AV32" s="6">
        <f t="shared" si="28"/>
        <v>0.86164232562863075</v>
      </c>
      <c r="AW32" s="178">
        <f t="shared" si="49"/>
        <v>0.27365122008390769</v>
      </c>
      <c r="AX32" s="178">
        <f t="shared" si="29"/>
        <v>2.7852631578947369</v>
      </c>
      <c r="AY32" s="178">
        <f t="shared" si="30"/>
        <v>0.54762124545136781</v>
      </c>
      <c r="AZ32" s="178">
        <f t="shared" si="50"/>
        <v>5.0861123103414831</v>
      </c>
      <c r="BA32" s="470">
        <f>L*Isw_max^2/(2*Vout_ripple*Vout)*1000000000*((1+M32)/2)^2</f>
        <v>22.244671714791423</v>
      </c>
      <c r="BB32" s="470">
        <f>L*F32^2/(2*Cout*Vout*Nps^2)*1000000000*((1+M32)/(1-M32))^2+F32*RCoutEsr</f>
        <v>2.9420141843971637</v>
      </c>
      <c r="BC32" s="6">
        <f t="shared" si="31"/>
        <v>0.62137105316130214</v>
      </c>
      <c r="BD32" s="470">
        <f>((BY32/I32/Efficiency)*AU32/Cin+(BY32/I32/Efficiency)*RCinEsr)*1000</f>
        <v>42.548861877861576</v>
      </c>
      <c r="BE32" s="6"/>
      <c r="BF32" s="178">
        <f t="shared" si="51"/>
        <v>0.45541060531350641</v>
      </c>
      <c r="BG32" s="178">
        <f t="shared" si="32"/>
        <v>0.74195412082560142</v>
      </c>
      <c r="BH32" s="178"/>
      <c r="BI32" s="543">
        <f t="shared" si="33"/>
        <v>2.2813870137521577E-2</v>
      </c>
      <c r="BJ32" s="543">
        <f t="shared" si="34"/>
        <v>6.7948575272620299E-2</v>
      </c>
      <c r="BK32" s="543">
        <f t="shared" si="35"/>
        <v>1.7499999999999998E-2</v>
      </c>
      <c r="BL32" s="543">
        <f t="shared" si="36"/>
        <v>5.2216171874999995E-2</v>
      </c>
      <c r="BM32">
        <f t="shared" si="37"/>
        <v>3.9150000000000001E-3</v>
      </c>
      <c r="BN32" s="470">
        <f t="shared" si="52"/>
        <v>164.39361728514189</v>
      </c>
      <c r="BO32" s="543">
        <f t="shared" si="53"/>
        <v>8.6400000000000018E-2</v>
      </c>
      <c r="BP32" s="543"/>
      <c r="BR32" s="470">
        <f t="shared" si="54"/>
        <v>86.40000000000002</v>
      </c>
      <c r="BS32" s="543">
        <f t="shared" si="38"/>
        <v>8.2959527772805738E-3</v>
      </c>
      <c r="BT32" s="543">
        <f t="shared" si="39"/>
        <v>2.2019836696403648E-2</v>
      </c>
      <c r="BU32" s="543">
        <f t="shared" si="40"/>
        <v>0</v>
      </c>
      <c r="BV32" s="543">
        <f t="shared" si="41"/>
        <v>2.9842105263157899E-2</v>
      </c>
      <c r="BW32" s="470">
        <f t="shared" si="55"/>
        <v>60.157894736842117</v>
      </c>
      <c r="BX32" s="178">
        <f t="shared" si="56"/>
        <v>0.31095151202198401</v>
      </c>
      <c r="BY32" s="6">
        <f t="shared" si="57"/>
        <v>2.5920000000000005</v>
      </c>
      <c r="BZ32" s="178">
        <f t="shared" si="58"/>
        <v>0.89288435899316898</v>
      </c>
      <c r="CA32" s="6">
        <f t="shared" si="59"/>
        <v>89.288435899316895</v>
      </c>
      <c r="CD32" s="577">
        <f t="shared" si="42"/>
        <v>-50</v>
      </c>
      <c r="CE32">
        <f t="shared" si="43"/>
        <v>-50</v>
      </c>
    </row>
    <row r="33" spans="5:83" x14ac:dyDescent="0.2">
      <c r="E33" s="175">
        <v>28</v>
      </c>
      <c r="F33" s="222">
        <f t="shared" si="44"/>
        <v>0.22400000000000003</v>
      </c>
      <c r="G33" s="222"/>
      <c r="H33" s="222">
        <f t="shared" si="0"/>
        <v>2.6880000000000006</v>
      </c>
      <c r="I33" s="556">
        <f t="shared" si="1"/>
        <v>13.5</v>
      </c>
      <c r="J33" s="177">
        <f t="shared" si="2"/>
        <v>12.25</v>
      </c>
      <c r="K33" s="452">
        <f t="shared" si="3"/>
        <v>25.75</v>
      </c>
      <c r="L33" s="452"/>
      <c r="M33" s="222">
        <f t="shared" si="4"/>
        <v>0.47572815533980584</v>
      </c>
      <c r="N33" s="177">
        <f t="shared" si="5"/>
        <v>12.507487864077669</v>
      </c>
      <c r="O33" s="177">
        <f t="shared" si="45"/>
        <v>2.6880000000000006</v>
      </c>
      <c r="P33" s="222">
        <f t="shared" si="6"/>
        <v>1.0422906553398057</v>
      </c>
      <c r="Q33" s="222">
        <f t="shared" si="7"/>
        <v>12</v>
      </c>
      <c r="R33" s="222">
        <f t="shared" si="8"/>
        <v>1.0971480582524269</v>
      </c>
      <c r="S33" s="177">
        <f t="shared" si="9"/>
        <v>103.90405570870156</v>
      </c>
      <c r="T33" s="177">
        <f t="shared" si="10"/>
        <v>12</v>
      </c>
      <c r="U33" s="222">
        <f t="shared" si="11"/>
        <v>0.88113617376775288</v>
      </c>
      <c r="V33" s="222">
        <f t="shared" si="12"/>
        <v>0.45688542343513106</v>
      </c>
      <c r="W33" s="222">
        <f t="shared" si="13"/>
        <v>0.50350638501014444</v>
      </c>
      <c r="X33" s="202">
        <f t="shared" si="14"/>
        <v>350</v>
      </c>
      <c r="Y33" s="452">
        <f t="shared" si="46"/>
        <v>350</v>
      </c>
      <c r="AA33" s="222">
        <f t="shared" si="15"/>
        <v>2.6213592233009715</v>
      </c>
      <c r="AB33" s="178">
        <f t="shared" si="16"/>
        <v>1.4979195561719838</v>
      </c>
      <c r="AC33" s="178">
        <f t="shared" si="17"/>
        <v>0.68715241775850722</v>
      </c>
      <c r="AD33" s="178"/>
      <c r="AE33" s="178">
        <f t="shared" si="18"/>
        <v>0.46857142857142853</v>
      </c>
      <c r="AF33" s="560">
        <f>MAX(12, F33/(0.5*AE33/1000000*Isw_min*Nps)/1000)</f>
        <v>1165.97263533611</v>
      </c>
      <c r="AG33" s="543">
        <f t="shared" si="19"/>
        <v>6.723999999999998E-2</v>
      </c>
      <c r="AI33" s="178">
        <f t="shared" si="20"/>
        <v>1.5355437918998291</v>
      </c>
      <c r="AJ33" s="178">
        <f t="shared" si="21"/>
        <v>1.5355437918998291</v>
      </c>
      <c r="AK33" s="178">
        <f t="shared" si="22"/>
        <v>1.7300324384443178</v>
      </c>
      <c r="AM33" s="560">
        <f t="shared" si="23"/>
        <v>224.00000000000003</v>
      </c>
      <c r="AN33" s="470">
        <f t="shared" si="24"/>
        <v>350</v>
      </c>
      <c r="AP33">
        <f t="shared" si="25"/>
        <v>224.00000000000003</v>
      </c>
      <c r="AQ33" s="470">
        <f t="shared" si="26"/>
        <v>350</v>
      </c>
      <c r="AR33" s="470"/>
      <c r="AS33" s="6">
        <f t="shared" si="47"/>
        <v>2.8571428571428572</v>
      </c>
      <c r="AT33" s="6">
        <f t="shared" si="27"/>
        <v>0.79620789209620768</v>
      </c>
      <c r="AU33" s="6">
        <f t="shared" si="48"/>
        <v>2.0609349650466493</v>
      </c>
      <c r="AV33" s="6">
        <f t="shared" si="28"/>
        <v>0.87745359537133083</v>
      </c>
      <c r="AW33" s="178">
        <f t="shared" si="49"/>
        <v>0.27867276223367266</v>
      </c>
      <c r="AX33" s="178">
        <f t="shared" si="29"/>
        <v>2.8884210526315801</v>
      </c>
      <c r="AY33" s="178">
        <f t="shared" si="30"/>
        <v>0.55381478094016801</v>
      </c>
      <c r="AZ33" s="178">
        <f t="shared" si="50"/>
        <v>5.2155001131030376</v>
      </c>
      <c r="BA33" s="470">
        <f>L*Isw_max^2/(2*Vout_ripple*Vout)*1000000000*((1+M33)/2)^2</f>
        <v>22.244671714791423</v>
      </c>
      <c r="BB33" s="470">
        <f>L*F33^2/(2*Cout*Vout*Nps^2)*1000000000*((1+M33)/(1-M33))^2+F33*RCoutEsr</f>
        <v>3.1390879568825469</v>
      </c>
      <c r="BC33" s="6">
        <f t="shared" si="31"/>
        <v>0.63992990381002313</v>
      </c>
      <c r="BD33" s="470">
        <f>((BY33/I33/Efficiency)*AU33/Cin+(BY33/I33/Efficiency)*RCinEsr)*1000</f>
        <v>43.82404043700113</v>
      </c>
      <c r="BE33" s="6"/>
      <c r="BF33" s="178">
        <f t="shared" si="51"/>
        <v>0.46800321913851128</v>
      </c>
      <c r="BG33" s="178">
        <f t="shared" si="32"/>
        <v>0.75295278680451971</v>
      </c>
      <c r="BH33" s="178"/>
      <c r="BI33" s="543">
        <f t="shared" si="33"/>
        <v>2.4092971443641035E-2</v>
      </c>
      <c r="BJ33" s="543">
        <f t="shared" si="34"/>
        <v>6.9195442122486045E-2</v>
      </c>
      <c r="BK33" s="543">
        <f t="shared" si="35"/>
        <v>1.7499999999999998E-2</v>
      </c>
      <c r="BL33" s="543">
        <f t="shared" si="36"/>
        <v>5.2216171874999995E-2</v>
      </c>
      <c r="BM33">
        <f t="shared" si="37"/>
        <v>3.9150000000000001E-3</v>
      </c>
      <c r="BN33" s="470">
        <f t="shared" si="52"/>
        <v>166.91958544112705</v>
      </c>
      <c r="BO33" s="543">
        <f t="shared" si="53"/>
        <v>8.9600000000000013E-2</v>
      </c>
      <c r="BP33" s="543"/>
      <c r="BR33" s="470">
        <f t="shared" si="54"/>
        <v>89.600000000000009</v>
      </c>
      <c r="BS33" s="543">
        <f t="shared" si="38"/>
        <v>8.7610805249603765E-3</v>
      </c>
      <c r="BT33" s="543">
        <f t="shared" si="39"/>
        <v>2.2677515966267704E-2</v>
      </c>
      <c r="BU33" s="543">
        <f t="shared" si="40"/>
        <v>0</v>
      </c>
      <c r="BV33" s="543">
        <f t="shared" si="41"/>
        <v>3.0947368421052644E-2</v>
      </c>
      <c r="BW33" s="470">
        <f t="shared" si="55"/>
        <v>62.385964912280727</v>
      </c>
      <c r="BX33" s="178">
        <f t="shared" si="56"/>
        <v>0.31890555035340784</v>
      </c>
      <c r="BY33" s="6">
        <f t="shared" si="57"/>
        <v>2.6880000000000006</v>
      </c>
      <c r="BZ33" s="178">
        <f t="shared" si="58"/>
        <v>0.89394227886009725</v>
      </c>
      <c r="CA33" s="6">
        <f t="shared" si="59"/>
        <v>89.39422788600973</v>
      </c>
      <c r="CD33" s="577">
        <f t="shared" si="42"/>
        <v>-50</v>
      </c>
      <c r="CE33">
        <f t="shared" si="43"/>
        <v>-50</v>
      </c>
    </row>
    <row r="34" spans="5:83" x14ac:dyDescent="0.2">
      <c r="E34" s="175">
        <v>29</v>
      </c>
      <c r="F34" s="222">
        <f t="shared" si="44"/>
        <v>0.23199999999999998</v>
      </c>
      <c r="G34" s="222"/>
      <c r="H34" s="222">
        <f t="shared" si="0"/>
        <v>2.7839999999999998</v>
      </c>
      <c r="I34" s="556">
        <f t="shared" si="1"/>
        <v>13.5</v>
      </c>
      <c r="J34" s="177">
        <f t="shared" si="2"/>
        <v>12.25</v>
      </c>
      <c r="K34" s="452">
        <f t="shared" si="3"/>
        <v>25.75</v>
      </c>
      <c r="L34" s="452"/>
      <c r="M34" s="222">
        <f t="shared" si="4"/>
        <v>0.47572815533980584</v>
      </c>
      <c r="N34" s="177">
        <f t="shared" si="5"/>
        <v>12.507487864077669</v>
      </c>
      <c r="O34" s="177">
        <f t="shared" si="45"/>
        <v>2.7839999999999998</v>
      </c>
      <c r="P34" s="222">
        <f t="shared" si="6"/>
        <v>1.0422906553398057</v>
      </c>
      <c r="Q34" s="222">
        <f t="shared" si="7"/>
        <v>12</v>
      </c>
      <c r="R34" s="222">
        <f t="shared" si="8"/>
        <v>1.0971480582524269</v>
      </c>
      <c r="S34" s="177">
        <f t="shared" si="9"/>
        <v>99.858067015030613</v>
      </c>
      <c r="T34" s="177">
        <f t="shared" si="10"/>
        <v>12</v>
      </c>
      <c r="U34" s="222">
        <f t="shared" si="11"/>
        <v>0.91260532283088669</v>
      </c>
      <c r="V34" s="222">
        <f t="shared" si="12"/>
        <v>0.47320275998638567</v>
      </c>
      <c r="W34" s="222">
        <f t="shared" si="13"/>
        <v>0.52148875590336374</v>
      </c>
      <c r="X34" s="202">
        <f t="shared" si="14"/>
        <v>350</v>
      </c>
      <c r="Y34" s="452">
        <f t="shared" si="46"/>
        <v>350</v>
      </c>
      <c r="AA34" s="222">
        <f t="shared" si="15"/>
        <v>2.6213592233009715</v>
      </c>
      <c r="AB34" s="178">
        <f t="shared" si="16"/>
        <v>1.4979195561719838</v>
      </c>
      <c r="AC34" s="178">
        <f t="shared" si="17"/>
        <v>0.68715241775850722</v>
      </c>
      <c r="AD34" s="178"/>
      <c r="AE34" s="178">
        <f t="shared" si="18"/>
        <v>0.46857142857142853</v>
      </c>
      <c r="AF34" s="560">
        <f>MAX(12, F34/(0.5*AE34/1000000*Isw_min*Nps)/1000)</f>
        <v>1207.6145151695421</v>
      </c>
      <c r="AG34" s="543">
        <f t="shared" si="19"/>
        <v>6.723999999999998E-2</v>
      </c>
      <c r="AI34" s="178">
        <f t="shared" si="20"/>
        <v>1.5627236682017378</v>
      </c>
      <c r="AJ34" s="178">
        <f t="shared" si="21"/>
        <v>1.5627236682017378</v>
      </c>
      <c r="AK34" s="178">
        <f t="shared" si="22"/>
        <v>1.7501656801494354</v>
      </c>
      <c r="AM34" s="560">
        <f t="shared" si="23"/>
        <v>231.99999999999997</v>
      </c>
      <c r="AN34" s="470">
        <f t="shared" si="24"/>
        <v>350</v>
      </c>
      <c r="AP34">
        <f t="shared" si="25"/>
        <v>231.99999999999997</v>
      </c>
      <c r="AQ34" s="470">
        <f t="shared" si="26"/>
        <v>350</v>
      </c>
      <c r="AR34" s="470"/>
      <c r="AS34" s="6">
        <f t="shared" si="47"/>
        <v>2.8571428571428572</v>
      </c>
      <c r="AT34" s="6">
        <f t="shared" si="27"/>
        <v>0.81030116128978991</v>
      </c>
      <c r="AU34" s="6">
        <f t="shared" si="48"/>
        <v>2.0468416958530673</v>
      </c>
      <c r="AV34" s="6">
        <f t="shared" si="28"/>
        <v>0.89298495325813587</v>
      </c>
      <c r="AW34" s="178">
        <f t="shared" si="49"/>
        <v>0.28360540645142646</v>
      </c>
      <c r="AX34" s="178">
        <f t="shared" si="29"/>
        <v>2.9915789473684216</v>
      </c>
      <c r="AY34" s="178">
        <f t="shared" si="30"/>
        <v>0.55976339355506</v>
      </c>
      <c r="AZ34" s="178">
        <f t="shared" si="50"/>
        <v>5.3443633181671446</v>
      </c>
      <c r="BA34" s="470">
        <f>L*Isw_max^2/(2*Vout_ripple*Vout)*1000000000*((1+M34)/2)^2</f>
        <v>22.244671714791423</v>
      </c>
      <c r="BB34" s="470">
        <f>L*F34^2/(2*Cout*Vout*Nps^2)*1000000000*((1+M34)/(1-M34))^2+F34*RCoutEsr</f>
        <v>3.3424553210946693</v>
      </c>
      <c r="BC34" s="6">
        <f t="shared" si="31"/>
        <v>0.65825223088642715</v>
      </c>
      <c r="BD34" s="470">
        <f>((BY34/I34/Efficiency)*AU34/Cin+(BY34/I34/Efficiency)*RCinEsr)*1000</f>
        <v>45.083253655009266</v>
      </c>
      <c r="BE34" s="6"/>
      <c r="BF34" s="178">
        <f t="shared" si="51"/>
        <v>0.480483872693303</v>
      </c>
      <c r="BG34" s="178">
        <f t="shared" si="32"/>
        <v>0.76365590143790818</v>
      </c>
      <c r="BH34" s="178"/>
      <c r="BI34" s="543">
        <f t="shared" si="33"/>
        <v>2.5395122711018962E-2</v>
      </c>
      <c r="BJ34" s="543">
        <f t="shared" si="34"/>
        <v>7.0420235298340808E-2</v>
      </c>
      <c r="BK34" s="543">
        <f t="shared" si="35"/>
        <v>1.7499999999999998E-2</v>
      </c>
      <c r="BL34" s="543">
        <f t="shared" si="36"/>
        <v>5.2216171874999995E-2</v>
      </c>
      <c r="BM34">
        <f t="shared" si="37"/>
        <v>3.9150000000000001E-3</v>
      </c>
      <c r="BN34" s="470">
        <f t="shared" si="52"/>
        <v>169.44652988435976</v>
      </c>
      <c r="BO34" s="543">
        <f t="shared" si="53"/>
        <v>9.2799999999999994E-2</v>
      </c>
      <c r="BP34" s="543"/>
      <c r="BR34" s="470">
        <f t="shared" si="54"/>
        <v>92.8</v>
      </c>
      <c r="BS34" s="543">
        <f t="shared" si="38"/>
        <v>9.2345900767341685E-3</v>
      </c>
      <c r="BT34" s="543">
        <f t="shared" si="39"/>
        <v>2.3326813432037765E-2</v>
      </c>
      <c r="BU34" s="543">
        <f t="shared" si="40"/>
        <v>0</v>
      </c>
      <c r="BV34" s="543">
        <f t="shared" si="41"/>
        <v>3.2052631578947374E-2</v>
      </c>
      <c r="BW34" s="470">
        <f t="shared" si="55"/>
        <v>64.614035087719301</v>
      </c>
      <c r="BX34" s="178">
        <f t="shared" si="56"/>
        <v>0.32686056497207905</v>
      </c>
      <c r="BY34" s="6">
        <f t="shared" si="57"/>
        <v>2.7839999999999998</v>
      </c>
      <c r="BZ34" s="178">
        <f t="shared" si="58"/>
        <v>0.89492921391190272</v>
      </c>
      <c r="CA34" s="6">
        <f t="shared" si="59"/>
        <v>89.492921391190265</v>
      </c>
      <c r="CD34" s="577">
        <f t="shared" si="42"/>
        <v>-50</v>
      </c>
      <c r="CE34">
        <f t="shared" si="43"/>
        <v>-50</v>
      </c>
    </row>
    <row r="35" spans="5:83" x14ac:dyDescent="0.2">
      <c r="E35" s="175">
        <v>30</v>
      </c>
      <c r="F35" s="222">
        <f t="shared" si="44"/>
        <v>0.24</v>
      </c>
      <c r="G35" s="222"/>
      <c r="H35" s="222">
        <f t="shared" si="0"/>
        <v>2.88</v>
      </c>
      <c r="I35" s="556">
        <f t="shared" si="1"/>
        <v>13.5</v>
      </c>
      <c r="J35" s="177">
        <f t="shared" si="2"/>
        <v>12.25</v>
      </c>
      <c r="K35" s="452">
        <f t="shared" si="3"/>
        <v>25.75</v>
      </c>
      <c r="L35" s="452"/>
      <c r="M35" s="222">
        <f t="shared" si="4"/>
        <v>0.47572815533980584</v>
      </c>
      <c r="N35" s="177">
        <f t="shared" si="5"/>
        <v>12.507487864077669</v>
      </c>
      <c r="O35" s="177">
        <f t="shared" si="45"/>
        <v>2.88</v>
      </c>
      <c r="P35" s="222">
        <f t="shared" si="6"/>
        <v>1.0422906553398057</v>
      </c>
      <c r="Q35" s="222">
        <f t="shared" si="7"/>
        <v>12</v>
      </c>
      <c r="R35" s="222">
        <f t="shared" si="8"/>
        <v>1.0971480582524269</v>
      </c>
      <c r="S35" s="177">
        <f t="shared" si="9"/>
        <v>96.08191011967952</v>
      </c>
      <c r="T35" s="177">
        <f t="shared" si="10"/>
        <v>12</v>
      </c>
      <c r="U35" s="222">
        <f t="shared" si="11"/>
        <v>0.94407447189402072</v>
      </c>
      <c r="V35" s="222">
        <f t="shared" si="12"/>
        <v>0.48952009653764039</v>
      </c>
      <c r="W35" s="222">
        <f t="shared" si="13"/>
        <v>0.53947112679658316</v>
      </c>
      <c r="X35" s="202">
        <f t="shared" si="14"/>
        <v>350</v>
      </c>
      <c r="Y35" s="452">
        <f t="shared" si="46"/>
        <v>350</v>
      </c>
      <c r="AA35" s="222">
        <f t="shared" si="15"/>
        <v>2.6213592233009715</v>
      </c>
      <c r="AB35" s="178">
        <f t="shared" si="16"/>
        <v>1.4979195561719838</v>
      </c>
      <c r="AC35" s="178">
        <f t="shared" si="17"/>
        <v>0.68715241775850722</v>
      </c>
      <c r="AD35" s="178"/>
      <c r="AE35" s="178">
        <f t="shared" si="18"/>
        <v>0.46857142857142853</v>
      </c>
      <c r="AF35" s="560">
        <f>MAX(12, F35/(0.5*AE35/1000000*Isw_min*Nps)/1000)</f>
        <v>1249.2563950029746</v>
      </c>
      <c r="AG35" s="543">
        <f t="shared" si="19"/>
        <v>6.723999999999998E-2</v>
      </c>
      <c r="AI35" s="178">
        <f t="shared" si="20"/>
        <v>1.5894388284780527</v>
      </c>
      <c r="AJ35" s="178">
        <f t="shared" si="21"/>
        <v>1.5894388284780527</v>
      </c>
      <c r="AK35" s="178">
        <f t="shared" si="22"/>
        <v>1.7699546877615204</v>
      </c>
      <c r="AM35" s="560">
        <f t="shared" si="23"/>
        <v>240</v>
      </c>
      <c r="AN35" s="470">
        <f t="shared" si="24"/>
        <v>350</v>
      </c>
      <c r="AP35">
        <f t="shared" si="25"/>
        <v>240</v>
      </c>
      <c r="AQ35" s="470">
        <f t="shared" si="26"/>
        <v>350</v>
      </c>
      <c r="AR35" s="470"/>
      <c r="AS35" s="6">
        <f t="shared" si="47"/>
        <v>2.8571428571428572</v>
      </c>
      <c r="AT35" s="6">
        <f t="shared" si="27"/>
        <v>0.82415346661824951</v>
      </c>
      <c r="AU35" s="6">
        <f t="shared" si="48"/>
        <v>2.0329893905246079</v>
      </c>
      <c r="AV35" s="6">
        <f t="shared" si="28"/>
        <v>0.90825075913031583</v>
      </c>
      <c r="AW35" s="178">
        <f t="shared" si="49"/>
        <v>0.28845371331638731</v>
      </c>
      <c r="AX35" s="178">
        <f t="shared" si="29"/>
        <v>3.0947368421052639</v>
      </c>
      <c r="AY35" s="178">
        <f t="shared" si="30"/>
        <v>0.56547964815715501</v>
      </c>
      <c r="AZ35" s="178">
        <f t="shared" si="50"/>
        <v>5.4727643199728231</v>
      </c>
      <c r="BA35" s="470">
        <f>L*Isw_max^2/(2*Vout_ripple*Vout)*1000000000*((1+M35)/2)^2</f>
        <v>22.244671714791423</v>
      </c>
      <c r="BB35" s="470">
        <f>L*F35^2/(2*Cout*Vout*Nps^2)*1000000000*((1+M35)/(1-M35))^2+F35*RCoutEsr</f>
        <v>3.5521162770335346</v>
      </c>
      <c r="BC35" s="6">
        <f t="shared" si="31"/>
        <v>0.67634214941429449</v>
      </c>
      <c r="BD35" s="470">
        <f>((BY35/I35/Efficiency)*AU35/Cin+(BY35/I35/Efficiency)*RCinEsr)*1000</f>
        <v>46.326779295991187</v>
      </c>
      <c r="BE35" s="6"/>
      <c r="BF35" s="178">
        <f t="shared" si="51"/>
        <v>0.49285737304129712</v>
      </c>
      <c r="BG35" s="178">
        <f t="shared" si="32"/>
        <v>0.77407807939298123</v>
      </c>
      <c r="BH35" s="178"/>
      <c r="BI35" s="543">
        <f t="shared" si="33"/>
        <v>2.6719922917728515E-2</v>
      </c>
      <c r="BJ35" s="543">
        <f t="shared" si="34"/>
        <v>7.1624087208292248E-2</v>
      </c>
      <c r="BK35" s="543">
        <f t="shared" si="35"/>
        <v>1.7499999999999998E-2</v>
      </c>
      <c r="BL35" s="543">
        <f t="shared" si="36"/>
        <v>5.2216171874999995E-2</v>
      </c>
      <c r="BM35">
        <f t="shared" si="37"/>
        <v>3.9150000000000001E-3</v>
      </c>
      <c r="BN35" s="470">
        <f t="shared" si="52"/>
        <v>171.97518200102076</v>
      </c>
      <c r="BO35" s="543">
        <f t="shared" si="53"/>
        <v>9.6000000000000002E-2</v>
      </c>
      <c r="BP35" s="543"/>
      <c r="BR35" s="470">
        <f t="shared" si="54"/>
        <v>96</v>
      </c>
      <c r="BS35" s="543">
        <f t="shared" si="38"/>
        <v>9.7163356064467327E-3</v>
      </c>
      <c r="BT35" s="543">
        <f t="shared" si="39"/>
        <v>2.3967874919869063E-2</v>
      </c>
      <c r="BU35" s="543">
        <f t="shared" si="40"/>
        <v>0</v>
      </c>
      <c r="BV35" s="543">
        <f t="shared" si="41"/>
        <v>3.3157894736842122E-2</v>
      </c>
      <c r="BW35" s="470">
        <f t="shared" si="55"/>
        <v>66.842105263157919</v>
      </c>
      <c r="BX35" s="178">
        <f t="shared" si="56"/>
        <v>0.3348172872641787</v>
      </c>
      <c r="BY35" s="6">
        <f t="shared" si="57"/>
        <v>2.88</v>
      </c>
      <c r="BZ35" s="178">
        <f t="shared" si="58"/>
        <v>0.89585184558058983</v>
      </c>
      <c r="CA35" s="6">
        <f t="shared" si="59"/>
        <v>89.585184558058984</v>
      </c>
      <c r="CD35" s="577">
        <f t="shared" si="42"/>
        <v>-50</v>
      </c>
      <c r="CE35">
        <f t="shared" si="43"/>
        <v>-50</v>
      </c>
    </row>
    <row r="36" spans="5:83" x14ac:dyDescent="0.2">
      <c r="E36" s="175">
        <v>31</v>
      </c>
      <c r="F36" s="222">
        <f t="shared" si="44"/>
        <v>0.248</v>
      </c>
      <c r="G36" s="222"/>
      <c r="H36" s="222">
        <f t="shared" si="0"/>
        <v>2.976</v>
      </c>
      <c r="I36" s="556">
        <f t="shared" si="1"/>
        <v>13.5</v>
      </c>
      <c r="J36" s="177">
        <f t="shared" si="2"/>
        <v>12.25</v>
      </c>
      <c r="K36" s="452">
        <f t="shared" si="3"/>
        <v>25.75</v>
      </c>
      <c r="L36" s="452"/>
      <c r="M36" s="222">
        <f t="shared" si="4"/>
        <v>0.47572815533980584</v>
      </c>
      <c r="N36" s="177">
        <f t="shared" si="5"/>
        <v>12.507487864077669</v>
      </c>
      <c r="O36" s="177">
        <f t="shared" si="45"/>
        <v>2.976</v>
      </c>
      <c r="P36" s="222">
        <f t="shared" si="6"/>
        <v>1.0422906553398057</v>
      </c>
      <c r="Q36" s="222">
        <f t="shared" si="7"/>
        <v>12</v>
      </c>
      <c r="R36" s="222">
        <f t="shared" si="8"/>
        <v>1.0971480582524269</v>
      </c>
      <c r="S36" s="177">
        <f t="shared" si="9"/>
        <v>92.549473579499008</v>
      </c>
      <c r="T36" s="177">
        <f t="shared" si="10"/>
        <v>12</v>
      </c>
      <c r="U36" s="222">
        <f t="shared" si="11"/>
        <v>0.97554362095715474</v>
      </c>
      <c r="V36" s="222">
        <f t="shared" si="12"/>
        <v>0.50583743308889506</v>
      </c>
      <c r="W36" s="222">
        <f t="shared" si="13"/>
        <v>0.55745349768980268</v>
      </c>
      <c r="X36" s="202">
        <f t="shared" si="14"/>
        <v>350</v>
      </c>
      <c r="Y36" s="452">
        <f t="shared" si="46"/>
        <v>350</v>
      </c>
      <c r="AA36" s="222">
        <f t="shared" si="15"/>
        <v>2.6213592233009715</v>
      </c>
      <c r="AB36" s="178">
        <f t="shared" si="16"/>
        <v>1.4979195561719838</v>
      </c>
      <c r="AC36" s="178">
        <f t="shared" si="17"/>
        <v>0.68715241775850722</v>
      </c>
      <c r="AD36" s="178"/>
      <c r="AE36" s="178">
        <f t="shared" si="18"/>
        <v>0.46857142857142853</v>
      </c>
      <c r="AF36" s="560">
        <f>MAX(12, F36/(0.5*AE36/1000000*Isw_min*Nps)/1000)</f>
        <v>1290.8982748364072</v>
      </c>
      <c r="AG36" s="543">
        <f t="shared" si="19"/>
        <v>6.723999999999998E-2</v>
      </c>
      <c r="AI36" s="178">
        <f t="shared" si="20"/>
        <v>1.6157123245768332</v>
      </c>
      <c r="AJ36" s="178">
        <f t="shared" si="21"/>
        <v>1.6157123245768332</v>
      </c>
      <c r="AK36" s="178">
        <f t="shared" si="22"/>
        <v>1.7894165367235801</v>
      </c>
      <c r="AM36" s="560">
        <f t="shared" si="23"/>
        <v>248</v>
      </c>
      <c r="AN36" s="470">
        <f t="shared" si="24"/>
        <v>350</v>
      </c>
      <c r="AP36">
        <f t="shared" si="25"/>
        <v>248</v>
      </c>
      <c r="AQ36" s="470">
        <f t="shared" si="26"/>
        <v>350</v>
      </c>
      <c r="AR36" s="470"/>
      <c r="AS36" s="6">
        <f t="shared" si="47"/>
        <v>2.8571428571428572</v>
      </c>
      <c r="AT36" s="6">
        <f t="shared" si="27"/>
        <v>0.83777676089169129</v>
      </c>
      <c r="AU36" s="6">
        <f t="shared" si="48"/>
        <v>2.0193660962511659</v>
      </c>
      <c r="AV36" s="6">
        <f t="shared" si="28"/>
        <v>0.92326418547247613</v>
      </c>
      <c r="AW36" s="178">
        <f t="shared" si="49"/>
        <v>0.29322186631209196</v>
      </c>
      <c r="AX36" s="178">
        <f t="shared" si="29"/>
        <v>3.1978947368421058</v>
      </c>
      <c r="AY36" s="178">
        <f t="shared" si="30"/>
        <v>0.57097507067048281</v>
      </c>
      <c r="AZ36" s="178">
        <f t="shared" si="50"/>
        <v>5.6007607006149884</v>
      </c>
      <c r="BA36" s="470">
        <f>L*Isw_max^2/(2*Vout_ripple*Vout)*1000000000*((1+M36)/2)^2</f>
        <v>22.244671714791423</v>
      </c>
      <c r="BB36" s="470">
        <f>L*F36^2/(2*Cout*Vout*Nps^2)*1000000000*((1+M36)/(1-M36))^2+F36*RCoutEsr</f>
        <v>3.7680708246991408</v>
      </c>
      <c r="BC36" s="6">
        <f t="shared" si="31"/>
        <v>0.69420356681175011</v>
      </c>
      <c r="BD36" s="470">
        <f>((BY36/I36/Efficiency)*AU36/Cin+(BY36/I36/Efficiency)*RCinEsr)*1000</f>
        <v>47.554881110670337</v>
      </c>
      <c r="BE36" s="6"/>
      <c r="BF36" s="178">
        <f t="shared" si="51"/>
        <v>0.50512816801699589</v>
      </c>
      <c r="BG36" s="178">
        <f t="shared" si="32"/>
        <v>0.7842327285138545</v>
      </c>
      <c r="BH36" s="178"/>
      <c r="BI36" s="543">
        <f t="shared" si="33"/>
        <v>2.806699127366271E-2</v>
      </c>
      <c r="BJ36" s="543">
        <f t="shared" si="34"/>
        <v>7.280803662624355E-2</v>
      </c>
      <c r="BK36" s="543">
        <f t="shared" si="35"/>
        <v>1.7499999999999998E-2</v>
      </c>
      <c r="BL36" s="543">
        <f t="shared" si="36"/>
        <v>5.2216171874999995E-2</v>
      </c>
      <c r="BM36">
        <f t="shared" si="37"/>
        <v>3.9150000000000001E-3</v>
      </c>
      <c r="BN36" s="470">
        <f t="shared" si="52"/>
        <v>174.50619977490629</v>
      </c>
      <c r="BO36" s="543">
        <f t="shared" si="53"/>
        <v>9.920000000000001E-2</v>
      </c>
      <c r="BP36" s="543"/>
      <c r="BR36" s="470">
        <f t="shared" si="54"/>
        <v>99.200000000000017</v>
      </c>
      <c r="BS36" s="543">
        <f t="shared" si="38"/>
        <v>1.0206178644968257E-2</v>
      </c>
      <c r="BT36" s="543">
        <f t="shared" si="39"/>
        <v>2.4600838898891402E-2</v>
      </c>
      <c r="BU36" s="543">
        <f t="shared" si="40"/>
        <v>0</v>
      </c>
      <c r="BV36" s="543">
        <f t="shared" si="41"/>
        <v>3.426315789473685E-2</v>
      </c>
      <c r="BW36" s="470">
        <f t="shared" si="55"/>
        <v>69.070175438596507</v>
      </c>
      <c r="BX36" s="178">
        <f t="shared" si="56"/>
        <v>0.34277637521350279</v>
      </c>
      <c r="BY36" s="6">
        <f t="shared" si="57"/>
        <v>2.976</v>
      </c>
      <c r="BZ36" s="178">
        <f t="shared" si="58"/>
        <v>0.89671603734028293</v>
      </c>
      <c r="CA36" s="6">
        <f t="shared" si="59"/>
        <v>89.671603734028295</v>
      </c>
      <c r="CD36" s="577">
        <f t="shared" si="42"/>
        <v>-50</v>
      </c>
      <c r="CE36">
        <f t="shared" si="43"/>
        <v>-50</v>
      </c>
    </row>
    <row r="37" spans="5:83" x14ac:dyDescent="0.2">
      <c r="E37" s="175">
        <v>32</v>
      </c>
      <c r="F37" s="222">
        <f t="shared" si="44"/>
        <v>0.25600000000000001</v>
      </c>
      <c r="G37" s="222"/>
      <c r="H37" s="222">
        <f t="shared" ref="H37:H68" si="60">F37*Vout</f>
        <v>3.0720000000000001</v>
      </c>
      <c r="I37" s="556">
        <f t="shared" ref="I37:I68" si="61">Vin</f>
        <v>13.5</v>
      </c>
      <c r="J37" s="177">
        <f t="shared" ref="J37:J68" si="62">(T37+Vfwd1)*Nps</f>
        <v>12.25</v>
      </c>
      <c r="K37" s="452">
        <f t="shared" ref="K37:K68" si="63">(Vout+Vfwd1)*Nps+I37</f>
        <v>25.75</v>
      </c>
      <c r="L37" s="452"/>
      <c r="M37" s="222">
        <f t="shared" ref="M37:M68" si="64">(Vout+Vfwd1)*Nps/((Vout+Vfwd1)*Nps+I37)</f>
        <v>0.47572815533980584</v>
      </c>
      <c r="N37" s="177">
        <f t="shared" si="5"/>
        <v>12.507487864077669</v>
      </c>
      <c r="O37" s="177">
        <f t="shared" si="45"/>
        <v>3.0720000000000001</v>
      </c>
      <c r="P37" s="222">
        <f t="shared" ref="P37:P68" si="65">N37/Vout</f>
        <v>1.0422906553398057</v>
      </c>
      <c r="Q37" s="222">
        <f t="shared" ref="Q37:Q68" si="66">MIN(Vout,N37/F37)</f>
        <v>12</v>
      </c>
      <c r="R37" s="222">
        <f t="shared" ref="R37:R68" si="67">Isw_max/2*I37*Nps*(Q37+Vfwd1)/Q37/(I37+Nps*(Q37+Vfwd1))</f>
        <v>1.0971480582524269</v>
      </c>
      <c r="S37" s="177">
        <f t="shared" ref="S37:S68" si="68">(SQRT(Isw_max^2*Nps^2*I37^2+4*Isw_max*F37/Efficiency*(Nps^2*Vfwd1*I37-Nps*I37^2)+4*(F37/Efficiency)^2*Nps^2*Vfwd1^2+8*(F37/Efficiency)^2*Nps*Vfwd1*I37+4*(F37/Efficiency)^2*I37^2)-2*F37/Efficiency*I37-2*F37/Efficiency*Nps*Vfwd1+Isw_max*Nps*I37)/(4*F37/Efficiency*Nps)</f>
        <v>89.237909904377332</v>
      </c>
      <c r="T37" s="177">
        <f t="shared" ref="T37:T68" si="69">MIN(Vout, S37)</f>
        <v>12</v>
      </c>
      <c r="U37" s="222">
        <f t="shared" ref="U37:U68" si="70">MIN(2*Vout*F37/(Efficiency*I37*M37), Isw_max)</f>
        <v>1.0070127700202889</v>
      </c>
      <c r="V37" s="222">
        <f t="shared" ref="V37:V68" si="71">L*U37/I37*1000000</f>
        <v>0.52215476964014984</v>
      </c>
      <c r="W37" s="222">
        <f t="shared" ref="W37:W68" si="72">L*U37/J37*1000000</f>
        <v>0.5754358685830222</v>
      </c>
      <c r="X37" s="202">
        <f t="shared" ref="X37:X68" si="73">IF(1/((350000*L)*(1/I37+1/J37))&gt;Isw_min, 350, 0.001/((Isw_min*L)*(1/I37+1/J37)))</f>
        <v>350</v>
      </c>
      <c r="Y37" s="452">
        <f t="shared" si="46"/>
        <v>350</v>
      </c>
      <c r="AA37" s="222">
        <f t="shared" ref="AA37:AA68" si="74">1/((X37*1000*L)*(1/I37+1/J37))</f>
        <v>2.6213592233009715</v>
      </c>
      <c r="AB37" s="178">
        <f t="shared" ref="AB37:AB68" si="75">L*AA37/J37*1000000</f>
        <v>1.4979195561719838</v>
      </c>
      <c r="AC37" s="178">
        <f t="shared" ref="AC37:AC68" si="76">0.5*AB37*AA37*Nps*X37/1000</f>
        <v>0.68715241775850722</v>
      </c>
      <c r="AD37" s="178"/>
      <c r="AE37" s="178">
        <f t="shared" ref="AE37:AE68" si="77">L*Isw_min/J37*1000000</f>
        <v>0.46857142857142853</v>
      </c>
      <c r="AF37" s="560">
        <f>MAX(12, F37/(0.5*AE37/1000000*Isw_min*Nps)/1000)</f>
        <v>1332.5401546698397</v>
      </c>
      <c r="AG37" s="543">
        <f t="shared" ref="AG37:AG68" si="78">0.5*AE37/1000000*Isw_min*Nps*X37*1000</f>
        <v>6.723999999999998E-2</v>
      </c>
      <c r="AI37" s="178">
        <f t="shared" ref="AI37:AI68" si="79">SQRT(F37/Efficiency/(0.5*L/J37*Fsw_DCM*Nps))</f>
        <v>1.6415653633362466</v>
      </c>
      <c r="AJ37" s="178">
        <f t="shared" ref="AJ37:AJ68" si="80">MAX(IF(F37&gt;AC37,U37,AI37),Isw_min)</f>
        <v>1.6415653633362466</v>
      </c>
      <c r="AK37" s="178">
        <f t="shared" ref="AK37:AK68" si="81">IF(F37&gt;AG37, (AJ37-Isw_min)/1.08*0.8+1.2, AF37*0.2/350+1)</f>
        <v>1.808566935804627</v>
      </c>
      <c r="AM37" s="560">
        <f t="shared" ref="AM37:AM68" si="82">F37*1000</f>
        <v>256</v>
      </c>
      <c r="AN37" s="470">
        <f t="shared" ref="AN37:AN68" si="83">IF(F37&gt;AG37, Y37, AF37)</f>
        <v>350</v>
      </c>
      <c r="AP37">
        <f t="shared" ref="AP37:AP68" si="84">IF(H37&gt;N37, "",AM37)</f>
        <v>256</v>
      </c>
      <c r="AQ37" s="470">
        <f t="shared" ref="AQ37:AQ68" si="85">IF(H37&gt;N37, "",AN37)</f>
        <v>350</v>
      </c>
      <c r="AR37" s="470"/>
      <c r="AS37" s="6">
        <f t="shared" si="47"/>
        <v>2.8571428571428572</v>
      </c>
      <c r="AT37" s="6">
        <f t="shared" ref="AT37:AT68" si="86">L*AJ37/I37*1000000</f>
        <v>0.85118204024842414</v>
      </c>
      <c r="AU37" s="6">
        <f t="shared" si="48"/>
        <v>2.005960816894433</v>
      </c>
      <c r="AV37" s="6">
        <f t="shared" ref="AV37:AV68" si="87">L*AJ37/J37*1000000</f>
        <v>0.93803735047785519</v>
      </c>
      <c r="AW37" s="178">
        <f t="shared" si="49"/>
        <v>0.29791371408694844</v>
      </c>
      <c r="AX37" s="178">
        <f t="shared" ref="AX37:AX68" si="88">0.5*L*AJ37^2*AN37*1000</f>
        <v>3.3010526315789472</v>
      </c>
      <c r="AY37" s="178">
        <f t="shared" ref="AY37:AY68" si="89">AJ37*Nps/2*(1-AW37)</f>
        <v>0.57626026451412715</v>
      </c>
      <c r="AZ37" s="178">
        <f t="shared" si="50"/>
        <v>5.7284057826930406</v>
      </c>
      <c r="BA37" s="470">
        <f>L*Isw_max^2/(2*Vout_ripple*Vout)*1000000000*((1+M37)/2)^2</f>
        <v>22.244671714791423</v>
      </c>
      <c r="BB37" s="470">
        <f>L*F37^2/(2*Cout*Vout*Nps^2)*1000000000*((1+M37)/(1-M37))^2+F37*RCoutEsr</f>
        <v>3.9903189640914887</v>
      </c>
      <c r="BC37" s="6">
        <f t="shared" ref="BC37:BC68" si="90">H37/Efficiency/I37*AU37/Vinripple1</f>
        <v>0.71184019978337432</v>
      </c>
      <c r="BD37" s="470">
        <f>((BY37/I37/Efficiency)*AU37/Cin+(BY37/I37/Efficiency)*RCinEsr)*1000</f>
        <v>48.767809976605825</v>
      </c>
      <c r="BE37" s="6"/>
      <c r="BF37" s="178">
        <f t="shared" si="51"/>
        <v>0.51730038376121912</v>
      </c>
      <c r="BG37" s="178">
        <f t="shared" ref="BG37:BG68" si="91">AJ37*Nps*SQRT((1-AW37)/3)</f>
        <v>0.79413218483800496</v>
      </c>
      <c r="BH37" s="178"/>
      <c r="BI37" s="543">
        <f t="shared" ref="BI37:BI68" si="92">Rdson*BF37^2</f>
        <v>2.9435965574345507E-2</v>
      </c>
      <c r="BJ37" s="543">
        <f t="shared" ref="BJ37:BJ68" si="93">0.5*K37*AJ37*AN37*1000*Trise</f>
        <v>7.3973039185339609E-2</v>
      </c>
      <c r="BK37" s="543">
        <f t="shared" ref="BK37:BK68" si="94">Qg*Vdd*AN37*1000</f>
        <v>1.7499999999999998E-2</v>
      </c>
      <c r="BL37" s="543">
        <f t="shared" ref="BL37:BL68" si="95">0.5*(Coss+Csw)*K37^2*AN37*1000</f>
        <v>5.2216171874999995E-2</v>
      </c>
      <c r="BM37">
        <f t="shared" ref="BM37:BM68" si="96">I37*IQ</f>
        <v>3.9150000000000001E-3</v>
      </c>
      <c r="BN37" s="470">
        <f t="shared" si="52"/>
        <v>177.04017663468514</v>
      </c>
      <c r="BO37" s="543">
        <f t="shared" ref="BO37:BO68" si="97">Vfwd2*F37</f>
        <v>0.1024</v>
      </c>
      <c r="BP37" s="543"/>
      <c r="BR37" s="470">
        <f t="shared" si="54"/>
        <v>102.4</v>
      </c>
      <c r="BS37" s="543">
        <f t="shared" ref="BS37:BS68" si="98">Rdcr_pri*BF37^2</f>
        <v>1.0703987481580184E-2</v>
      </c>
      <c r="BT37" s="543">
        <f t="shared" ref="BT37:BT68" si="99">Rdcr_sec*BG37^2</f>
        <v>2.5225837079823333E-2</v>
      </c>
      <c r="BU37" s="543">
        <f t="shared" ref="BU37:BU68" si="100">AJ37^2.5*AN37^2.5*k_core</f>
        <v>0</v>
      </c>
      <c r="BV37" s="543">
        <f t="shared" ref="BV37:BV68" si="101">0.5*Lleak*0.000000001*AJ37^2*AN37*1000</f>
        <v>3.5368421052631584E-2</v>
      </c>
      <c r="BW37" s="470">
        <f t="shared" si="55"/>
        <v>71.29824561403511</v>
      </c>
      <c r="BX37" s="178">
        <f t="shared" si="56"/>
        <v>0.35073842224872026</v>
      </c>
      <c r="BY37" s="6">
        <f t="shared" si="57"/>
        <v>3.0720000000000001</v>
      </c>
      <c r="BZ37" s="178">
        <f t="shared" si="58"/>
        <v>0.8975269567873414</v>
      </c>
      <c r="CA37" s="6">
        <f t="shared" si="59"/>
        <v>89.752695678734142</v>
      </c>
      <c r="CD37" s="577">
        <f t="shared" ref="CD37:CD68" si="102">IF(ABS(F37-Ioutmax_Vinnom)&lt;Iout/200, AN37, -50)</f>
        <v>-50</v>
      </c>
      <c r="CE37">
        <f t="shared" ref="CE37:CE68" si="103">IF(ABS(F37-Ioutmax_Vinnom)&lt;Iout/200, N37*BZ37, -50)</f>
        <v>-50</v>
      </c>
    </row>
    <row r="38" spans="5:83" x14ac:dyDescent="0.2">
      <c r="E38" s="175">
        <v>33</v>
      </c>
      <c r="F38" s="222">
        <f t="shared" ref="F38:F69" si="104">IF(PLOT_TYPE=1, E38/100*Iout_max, min_I*EXP(N38*rr/100))</f>
        <v>0.26400000000000001</v>
      </c>
      <c r="G38" s="222"/>
      <c r="H38" s="222">
        <f t="shared" si="60"/>
        <v>3.1680000000000001</v>
      </c>
      <c r="I38" s="556">
        <f t="shared" si="61"/>
        <v>13.5</v>
      </c>
      <c r="J38" s="177">
        <f t="shared" si="62"/>
        <v>12.25</v>
      </c>
      <c r="K38" s="452">
        <f t="shared" si="63"/>
        <v>25.75</v>
      </c>
      <c r="L38" s="452"/>
      <c r="M38" s="222">
        <f t="shared" si="64"/>
        <v>0.47572815533980584</v>
      </c>
      <c r="N38" s="177">
        <f t="shared" si="5"/>
        <v>12.507487864077669</v>
      </c>
      <c r="O38" s="177">
        <f t="shared" si="45"/>
        <v>3.1680000000000001</v>
      </c>
      <c r="P38" s="222">
        <f t="shared" si="65"/>
        <v>1.0422906553398057</v>
      </c>
      <c r="Q38" s="222">
        <f t="shared" si="66"/>
        <v>12</v>
      </c>
      <c r="R38" s="222">
        <f t="shared" si="67"/>
        <v>1.0971480582524269</v>
      </c>
      <c r="S38" s="177">
        <f t="shared" si="68"/>
        <v>86.127141019378769</v>
      </c>
      <c r="T38" s="177">
        <f t="shared" si="69"/>
        <v>12</v>
      </c>
      <c r="U38" s="222">
        <f t="shared" si="70"/>
        <v>1.0384819190834229</v>
      </c>
      <c r="V38" s="222">
        <f t="shared" si="71"/>
        <v>0.53847210619140451</v>
      </c>
      <c r="W38" s="222">
        <f t="shared" si="72"/>
        <v>0.59341823947624162</v>
      </c>
      <c r="X38" s="202">
        <f t="shared" si="73"/>
        <v>350</v>
      </c>
      <c r="Y38" s="452">
        <f t="shared" si="46"/>
        <v>350</v>
      </c>
      <c r="AA38" s="222">
        <f t="shared" si="74"/>
        <v>2.6213592233009715</v>
      </c>
      <c r="AB38" s="178">
        <f t="shared" si="75"/>
        <v>1.4979195561719838</v>
      </c>
      <c r="AC38" s="178">
        <f t="shared" si="76"/>
        <v>0.68715241775850722</v>
      </c>
      <c r="AD38" s="178"/>
      <c r="AE38" s="178">
        <f t="shared" si="77"/>
        <v>0.46857142857142853</v>
      </c>
      <c r="AF38" s="560">
        <f>MAX(12, F38/(0.5*AE38/1000000*Isw_min*Nps)/1000)</f>
        <v>1374.1820345032722</v>
      </c>
      <c r="AG38" s="543">
        <f t="shared" si="78"/>
        <v>6.723999999999998E-2</v>
      </c>
      <c r="AI38" s="178">
        <f t="shared" si="79"/>
        <v>1.6670175069329816</v>
      </c>
      <c r="AJ38" s="178">
        <f t="shared" si="80"/>
        <v>1.6670175069329816</v>
      </c>
      <c r="AK38" s="178">
        <f t="shared" si="81"/>
        <v>1.8274203755059122</v>
      </c>
      <c r="AM38" s="560">
        <f t="shared" si="82"/>
        <v>264</v>
      </c>
      <c r="AN38" s="470">
        <f t="shared" si="83"/>
        <v>350</v>
      </c>
      <c r="AP38">
        <f t="shared" si="84"/>
        <v>264</v>
      </c>
      <c r="AQ38" s="470">
        <f t="shared" si="85"/>
        <v>350</v>
      </c>
      <c r="AR38" s="470"/>
      <c r="AS38" s="6">
        <f t="shared" si="47"/>
        <v>2.8571428571428572</v>
      </c>
      <c r="AT38" s="6">
        <f t="shared" si="86"/>
        <v>0.86437944803932376</v>
      </c>
      <c r="AU38" s="6">
        <f t="shared" si="48"/>
        <v>1.9927634091035333</v>
      </c>
      <c r="AV38" s="6">
        <f t="shared" si="87"/>
        <v>0.95258143253313232</v>
      </c>
      <c r="AW38" s="178">
        <f t="shared" si="49"/>
        <v>0.30253280681376332</v>
      </c>
      <c r="AX38" s="178">
        <f t="shared" si="88"/>
        <v>3.4042105263157905</v>
      </c>
      <c r="AY38" s="178">
        <f t="shared" si="89"/>
        <v>0.58134501077643219</v>
      </c>
      <c r="AZ38" s="178">
        <f t="shared" si="50"/>
        <v>5.8557491045965948</v>
      </c>
      <c r="BA38" s="470">
        <f>L*Isw_max^2/(2*Vout_ripple*Vout)*1000000000*((1+M38)/2)^2</f>
        <v>22.244671714791423</v>
      </c>
      <c r="BB38" s="470">
        <f>L*F38^2/(2*Cout*Vout*Nps^2)*1000000000*((1+M38)/(1-M38))^2+F38*RCoutEsr</f>
        <v>4.2188606952105783</v>
      </c>
      <c r="BC38" s="6">
        <f t="shared" si="90"/>
        <v>0.72925558934834966</v>
      </c>
      <c r="BD38" s="470">
        <f>((BY38/I38/Efficiency)*AU38/Cin+(BY38/I38/Efficiency)*RCinEsr)*1000</f>
        <v>49.965804912592553</v>
      </c>
      <c r="BE38" s="6"/>
      <c r="BF38" s="178">
        <f t="shared" si="51"/>
        <v>0.52937785728662734</v>
      </c>
      <c r="BG38" s="178">
        <f t="shared" si="91"/>
        <v>0.80378782877591748</v>
      </c>
      <c r="BH38" s="178"/>
      <c r="BI38" s="543">
        <f t="shared" si="92"/>
        <v>3.0826500736391888E-2</v>
      </c>
      <c r="BJ38" s="543">
        <f t="shared" si="93"/>
        <v>7.511997640616748E-2</v>
      </c>
      <c r="BK38" s="543">
        <f t="shared" si="94"/>
        <v>1.7499999999999998E-2</v>
      </c>
      <c r="BL38" s="543">
        <f t="shared" si="95"/>
        <v>5.2216171874999995E-2</v>
      </c>
      <c r="BM38">
        <f t="shared" si="96"/>
        <v>3.9150000000000001E-3</v>
      </c>
      <c r="BN38" s="470">
        <f t="shared" si="52"/>
        <v>179.57764901755934</v>
      </c>
      <c r="BO38" s="543">
        <f t="shared" si="97"/>
        <v>0.10560000000000001</v>
      </c>
      <c r="BP38" s="543"/>
      <c r="BR38" s="470">
        <f t="shared" si="54"/>
        <v>105.60000000000001</v>
      </c>
      <c r="BS38" s="543">
        <f t="shared" si="98"/>
        <v>1.1209636631415233E-2</v>
      </c>
      <c r="BT38" s="543">
        <f t="shared" si="99"/>
        <v>2.5842994947532144E-2</v>
      </c>
      <c r="BU38" s="543">
        <f t="shared" si="100"/>
        <v>0</v>
      </c>
      <c r="BV38" s="543">
        <f t="shared" si="101"/>
        <v>3.6473684210526325E-2</v>
      </c>
      <c r="BW38" s="470">
        <f t="shared" si="55"/>
        <v>73.526315789473699</v>
      </c>
      <c r="BX38" s="178">
        <f t="shared" si="56"/>
        <v>0.35870396480703304</v>
      </c>
      <c r="BY38" s="6">
        <f t="shared" si="57"/>
        <v>3.1680000000000001</v>
      </c>
      <c r="BZ38" s="178">
        <f t="shared" si="58"/>
        <v>0.89828917641329165</v>
      </c>
      <c r="CA38" s="6">
        <f t="shared" si="59"/>
        <v>89.82891764132917</v>
      </c>
      <c r="CD38" s="577">
        <f t="shared" si="102"/>
        <v>-50</v>
      </c>
      <c r="CE38">
        <f t="shared" si="103"/>
        <v>-50</v>
      </c>
    </row>
    <row r="39" spans="5:83" x14ac:dyDescent="0.2">
      <c r="E39" s="175">
        <v>34</v>
      </c>
      <c r="F39" s="222">
        <f t="shared" si="104"/>
        <v>0.27200000000000002</v>
      </c>
      <c r="G39" s="222"/>
      <c r="H39" s="222">
        <f t="shared" si="60"/>
        <v>3.2640000000000002</v>
      </c>
      <c r="I39" s="556">
        <f t="shared" si="61"/>
        <v>13.5</v>
      </c>
      <c r="J39" s="177">
        <f t="shared" si="62"/>
        <v>12.25</v>
      </c>
      <c r="K39" s="452">
        <f t="shared" si="63"/>
        <v>25.75</v>
      </c>
      <c r="L39" s="452"/>
      <c r="M39" s="222">
        <f t="shared" si="64"/>
        <v>0.47572815533980584</v>
      </c>
      <c r="N39" s="177">
        <f t="shared" si="5"/>
        <v>12.507487864077669</v>
      </c>
      <c r="O39" s="177">
        <f t="shared" si="45"/>
        <v>3.2640000000000002</v>
      </c>
      <c r="P39" s="222">
        <f t="shared" si="65"/>
        <v>1.0422906553398057</v>
      </c>
      <c r="Q39" s="222">
        <f t="shared" si="66"/>
        <v>12</v>
      </c>
      <c r="R39" s="222">
        <f t="shared" si="67"/>
        <v>1.0971480582524269</v>
      </c>
      <c r="S39" s="177">
        <f t="shared" si="68"/>
        <v>83.199450998281236</v>
      </c>
      <c r="T39" s="177">
        <f t="shared" si="69"/>
        <v>12</v>
      </c>
      <c r="U39" s="222">
        <f t="shared" si="70"/>
        <v>1.0699510681465569</v>
      </c>
      <c r="V39" s="222">
        <f t="shared" si="71"/>
        <v>0.55478944274265907</v>
      </c>
      <c r="W39" s="222">
        <f t="shared" si="72"/>
        <v>0.61140061036946114</v>
      </c>
      <c r="X39" s="202">
        <f t="shared" si="73"/>
        <v>350</v>
      </c>
      <c r="Y39" s="452">
        <f t="shared" si="46"/>
        <v>350</v>
      </c>
      <c r="AA39" s="222">
        <f t="shared" si="74"/>
        <v>2.6213592233009715</v>
      </c>
      <c r="AB39" s="178">
        <f t="shared" si="75"/>
        <v>1.4979195561719838</v>
      </c>
      <c r="AC39" s="178">
        <f t="shared" si="76"/>
        <v>0.68715241775850722</v>
      </c>
      <c r="AD39" s="178"/>
      <c r="AE39" s="178">
        <f t="shared" si="77"/>
        <v>0.46857142857142853</v>
      </c>
      <c r="AF39" s="560">
        <f>MAX(12, F39/(0.5*AE39/1000000*Isw_min*Nps)/1000)</f>
        <v>1415.8239143367045</v>
      </c>
      <c r="AG39" s="543">
        <f t="shared" si="78"/>
        <v>6.723999999999998E-2</v>
      </c>
      <c r="AI39" s="178">
        <f t="shared" si="79"/>
        <v>1.6920868460976943</v>
      </c>
      <c r="AJ39" s="178">
        <f t="shared" si="80"/>
        <v>1.6920868460976943</v>
      </c>
      <c r="AK39" s="178">
        <f t="shared" si="81"/>
        <v>1.8459902563686625</v>
      </c>
      <c r="AM39" s="560">
        <f t="shared" si="82"/>
        <v>272</v>
      </c>
      <c r="AN39" s="470">
        <f t="shared" si="83"/>
        <v>350</v>
      </c>
      <c r="AP39">
        <f t="shared" si="84"/>
        <v>272</v>
      </c>
      <c r="AQ39" s="470">
        <f t="shared" si="85"/>
        <v>350</v>
      </c>
      <c r="AR39" s="470"/>
      <c r="AS39" s="6">
        <f t="shared" si="47"/>
        <v>2.8571428571428572</v>
      </c>
      <c r="AT39" s="6">
        <f t="shared" si="86"/>
        <v>0.87737836464324881</v>
      </c>
      <c r="AU39" s="6">
        <f t="shared" si="48"/>
        <v>1.9797644924996085</v>
      </c>
      <c r="AV39" s="6">
        <f t="shared" si="87"/>
        <v>0.96690676919868246</v>
      </c>
      <c r="AW39" s="178">
        <f t="shared" si="49"/>
        <v>0.3070824276251371</v>
      </c>
      <c r="AX39" s="178">
        <f t="shared" si="88"/>
        <v>3.5073684210526315</v>
      </c>
      <c r="AY39" s="178">
        <f t="shared" si="89"/>
        <v>0.58623835482272624</v>
      </c>
      <c r="AZ39" s="178">
        <f t="shared" si="50"/>
        <v>5.9828368311268738</v>
      </c>
      <c r="BA39" s="470">
        <f>L*Isw_max^2/(2*Vout_ripple*Vout)*1000000000*((1+M39)/2)^2</f>
        <v>22.244671714791423</v>
      </c>
      <c r="BB39" s="470">
        <f>L*F39^2/(2*Cout*Vout*Nps^2)*1000000000*((1+M39)/(1-M39))^2+F39*RCoutEsr</f>
        <v>4.4536960180564078</v>
      </c>
      <c r="BC39" s="6">
        <f t="shared" si="90"/>
        <v>0.74645311426106087</v>
      </c>
      <c r="BD39" s="470">
        <f>((BY39/I39/Efficiency)*AU39/Cin+(BY39/I39/Efficiency)*RCinEsr)*1000</f>
        <v>51.149093984551442</v>
      </c>
      <c r="BE39" s="6"/>
      <c r="BF39" s="178">
        <f t="shared" si="51"/>
        <v>0.54136416486189975</v>
      </c>
      <c r="BG39" s="178">
        <f t="shared" si="91"/>
        <v>0.81321018557053171</v>
      </c>
      <c r="BH39" s="178"/>
      <c r="BI39" s="543">
        <f t="shared" si="92"/>
        <v>3.2238267489628443E-2</v>
      </c>
      <c r="BJ39" s="543">
        <f t="shared" si="93"/>
        <v>7.6249663502277354E-2</v>
      </c>
      <c r="BK39" s="543">
        <f t="shared" si="94"/>
        <v>1.7499999999999998E-2</v>
      </c>
      <c r="BL39" s="543">
        <f t="shared" si="95"/>
        <v>5.2216171874999995E-2</v>
      </c>
      <c r="BM39">
        <f t="shared" si="96"/>
        <v>3.9150000000000001E-3</v>
      </c>
      <c r="BN39" s="470">
        <f t="shared" si="52"/>
        <v>182.11910286690576</v>
      </c>
      <c r="BO39" s="543">
        <f t="shared" si="97"/>
        <v>0.10880000000000001</v>
      </c>
      <c r="BP39" s="543"/>
      <c r="BR39" s="470">
        <f t="shared" si="54"/>
        <v>108.80000000000001</v>
      </c>
      <c r="BS39" s="543">
        <f t="shared" si="98"/>
        <v>1.1723006359864887E-2</v>
      </c>
      <c r="BT39" s="543">
        <f t="shared" si="99"/>
        <v>2.6452432236626345E-2</v>
      </c>
      <c r="BU39" s="543">
        <f t="shared" si="100"/>
        <v>0</v>
      </c>
      <c r="BV39" s="543">
        <f t="shared" si="101"/>
        <v>3.7578947368421052E-2</v>
      </c>
      <c r="BW39" s="470">
        <f t="shared" si="55"/>
        <v>75.754385964912288</v>
      </c>
      <c r="BX39" s="178">
        <f t="shared" si="56"/>
        <v>0.36667348883181811</v>
      </c>
      <c r="BY39" s="6">
        <f t="shared" si="57"/>
        <v>3.2640000000000002</v>
      </c>
      <c r="BZ39" s="178">
        <f t="shared" si="58"/>
        <v>0.89900675729730883</v>
      </c>
      <c r="CA39" s="6">
        <f t="shared" si="59"/>
        <v>89.900675729730878</v>
      </c>
      <c r="CD39" s="577">
        <f t="shared" si="102"/>
        <v>-50</v>
      </c>
      <c r="CE39">
        <f t="shared" si="103"/>
        <v>-50</v>
      </c>
    </row>
    <row r="40" spans="5:83" x14ac:dyDescent="0.2">
      <c r="E40" s="175">
        <v>35</v>
      </c>
      <c r="F40" s="222">
        <f t="shared" si="104"/>
        <v>0.27999999999999997</v>
      </c>
      <c r="G40" s="222"/>
      <c r="H40" s="222">
        <f t="shared" si="60"/>
        <v>3.3599999999999994</v>
      </c>
      <c r="I40" s="556">
        <f t="shared" si="61"/>
        <v>13.5</v>
      </c>
      <c r="J40" s="177">
        <f t="shared" si="62"/>
        <v>12.25</v>
      </c>
      <c r="K40" s="452">
        <f t="shared" si="63"/>
        <v>25.75</v>
      </c>
      <c r="L40" s="452"/>
      <c r="M40" s="222">
        <f t="shared" si="64"/>
        <v>0.47572815533980584</v>
      </c>
      <c r="N40" s="177">
        <f t="shared" si="5"/>
        <v>12.507487864077669</v>
      </c>
      <c r="O40" s="177">
        <f t="shared" si="45"/>
        <v>3.3599999999999994</v>
      </c>
      <c r="P40" s="222">
        <f t="shared" si="65"/>
        <v>1.0422906553398057</v>
      </c>
      <c r="Q40" s="222">
        <f t="shared" si="66"/>
        <v>12</v>
      </c>
      <c r="R40" s="222">
        <f t="shared" si="67"/>
        <v>1.0971480582524269</v>
      </c>
      <c r="S40" s="177">
        <f t="shared" si="68"/>
        <v>80.439148614233474</v>
      </c>
      <c r="T40" s="177">
        <f t="shared" si="69"/>
        <v>12</v>
      </c>
      <c r="U40" s="222">
        <f t="shared" si="70"/>
        <v>1.1014202172096907</v>
      </c>
      <c r="V40" s="222">
        <f t="shared" si="71"/>
        <v>0.57110677929391374</v>
      </c>
      <c r="W40" s="222">
        <f t="shared" si="72"/>
        <v>0.62938298126268044</v>
      </c>
      <c r="X40" s="202">
        <f t="shared" si="73"/>
        <v>350</v>
      </c>
      <c r="Y40" s="452">
        <f t="shared" si="46"/>
        <v>350</v>
      </c>
      <c r="AA40" s="222">
        <f t="shared" si="74"/>
        <v>2.6213592233009715</v>
      </c>
      <c r="AB40" s="178">
        <f t="shared" si="75"/>
        <v>1.4979195561719838</v>
      </c>
      <c r="AC40" s="178">
        <f t="shared" si="76"/>
        <v>0.68715241775850722</v>
      </c>
      <c r="AD40" s="178"/>
      <c r="AE40" s="178">
        <f t="shared" si="77"/>
        <v>0.46857142857142853</v>
      </c>
      <c r="AF40" s="560">
        <f>MAX(12, F40/(0.5*AE40/1000000*Isw_min*Nps)/1000)</f>
        <v>1457.4657941701371</v>
      </c>
      <c r="AG40" s="543">
        <f t="shared" si="78"/>
        <v>6.723999999999998E-2</v>
      </c>
      <c r="AI40" s="178">
        <f t="shared" si="79"/>
        <v>1.7167901505579042</v>
      </c>
      <c r="AJ40" s="178">
        <f t="shared" si="80"/>
        <v>1.7167901505579042</v>
      </c>
      <c r="AK40" s="178">
        <f t="shared" si="81"/>
        <v>1.8642890004132624</v>
      </c>
      <c r="AM40" s="560">
        <f t="shared" si="82"/>
        <v>279.99999999999994</v>
      </c>
      <c r="AN40" s="470">
        <f t="shared" si="83"/>
        <v>350</v>
      </c>
      <c r="AP40">
        <f t="shared" si="84"/>
        <v>279.99999999999994</v>
      </c>
      <c r="AQ40" s="470">
        <f t="shared" si="85"/>
        <v>350</v>
      </c>
      <c r="AR40" s="470"/>
      <c r="AS40" s="6">
        <f t="shared" si="47"/>
        <v>2.8571428571428572</v>
      </c>
      <c r="AT40" s="6">
        <f t="shared" si="86"/>
        <v>0.8901874854744688</v>
      </c>
      <c r="AU40" s="6">
        <f t="shared" si="48"/>
        <v>1.9669553716683885</v>
      </c>
      <c r="AV40" s="6">
        <f t="shared" si="87"/>
        <v>0.98102294317594518</v>
      </c>
      <c r="AW40" s="178">
        <f t="shared" si="49"/>
        <v>0.31156561991606407</v>
      </c>
      <c r="AX40" s="178">
        <f t="shared" si="88"/>
        <v>3.6105263157894734</v>
      </c>
      <c r="AY40" s="178">
        <f t="shared" si="89"/>
        <v>0.59094868151676883</v>
      </c>
      <c r="AZ40" s="178">
        <f t="shared" si="50"/>
        <v>6.1097121098949785</v>
      </c>
      <c r="BA40" s="470">
        <f>L*Isw_max^2/(2*Vout_ripple*Vout)*1000000000*((1+M40)/2)^2</f>
        <v>22.244671714791423</v>
      </c>
      <c r="BB40" s="470">
        <f>L*F40^2/(2*Cout*Vout*Nps^2)*1000000000*((1+M40)/(1-M40))^2+F40*RCoutEsr</f>
        <v>4.6948249326289773</v>
      </c>
      <c r="BC40" s="6">
        <f t="shared" si="90"/>
        <v>0.76343600303871595</v>
      </c>
      <c r="BD40" s="470">
        <f>((BY40/I40/Efficiency)*AU40/Cin+(BY40/I40/Efficiency)*RCinEsr)*1000</f>
        <v>52.317895117394038</v>
      </c>
      <c r="BE40" s="6"/>
      <c r="BF40" s="178">
        <f t="shared" si="51"/>
        <v>0.55326264685840187</v>
      </c>
      <c r="BG40" s="178">
        <f t="shared" si="91"/>
        <v>0.82240901256133636</v>
      </c>
      <c r="BH40" s="178"/>
      <c r="BI40" s="543">
        <f t="shared" si="92"/>
        <v>3.3670951204964113E-2</v>
      </c>
      <c r="BJ40" s="543">
        <f t="shared" si="93"/>
        <v>7.7362856159515561E-2</v>
      </c>
      <c r="BK40" s="543">
        <f t="shared" si="94"/>
        <v>1.7499999999999998E-2</v>
      </c>
      <c r="BL40" s="543">
        <f t="shared" si="95"/>
        <v>5.2216171874999995E-2</v>
      </c>
      <c r="BM40">
        <f t="shared" si="96"/>
        <v>3.9150000000000001E-3</v>
      </c>
      <c r="BN40" s="470">
        <f t="shared" si="52"/>
        <v>184.66497923947966</v>
      </c>
      <c r="BO40" s="543">
        <f t="shared" si="97"/>
        <v>0.11199999999999999</v>
      </c>
      <c r="BP40" s="543"/>
      <c r="BR40" s="470">
        <f t="shared" si="54"/>
        <v>111.99999999999999</v>
      </c>
      <c r="BS40" s="543">
        <f t="shared" si="98"/>
        <v>1.2243982256350587E-2</v>
      </c>
      <c r="BT40" s="543">
        <f t="shared" si="99"/>
        <v>2.7054263357684492E-2</v>
      </c>
      <c r="BU40" s="543">
        <f t="shared" si="100"/>
        <v>0</v>
      </c>
      <c r="BV40" s="543">
        <f t="shared" si="101"/>
        <v>3.8684210526315793E-2</v>
      </c>
      <c r="BW40" s="470">
        <f t="shared" si="55"/>
        <v>77.982456140350877</v>
      </c>
      <c r="BX40" s="178">
        <f t="shared" si="56"/>
        <v>0.37464743537983058</v>
      </c>
      <c r="BY40" s="6">
        <f t="shared" si="57"/>
        <v>3.3599999999999994</v>
      </c>
      <c r="BZ40" s="178">
        <f t="shared" si="58"/>
        <v>0.8996833190114164</v>
      </c>
      <c r="CA40" s="6">
        <f t="shared" si="59"/>
        <v>89.968331901141639</v>
      </c>
      <c r="CD40" s="577">
        <f t="shared" si="102"/>
        <v>-50</v>
      </c>
      <c r="CE40">
        <f t="shared" si="103"/>
        <v>-50</v>
      </c>
    </row>
    <row r="41" spans="5:83" x14ac:dyDescent="0.2">
      <c r="E41" s="175">
        <v>36</v>
      </c>
      <c r="F41" s="222">
        <f t="shared" si="104"/>
        <v>0.28799999999999998</v>
      </c>
      <c r="G41" s="222"/>
      <c r="H41" s="222">
        <f t="shared" si="60"/>
        <v>3.4559999999999995</v>
      </c>
      <c r="I41" s="556">
        <f t="shared" si="61"/>
        <v>13.5</v>
      </c>
      <c r="J41" s="177">
        <f t="shared" si="62"/>
        <v>12.25</v>
      </c>
      <c r="K41" s="452">
        <f t="shared" si="63"/>
        <v>25.75</v>
      </c>
      <c r="L41" s="452"/>
      <c r="M41" s="222">
        <f t="shared" si="64"/>
        <v>0.47572815533980584</v>
      </c>
      <c r="N41" s="177">
        <f t="shared" si="5"/>
        <v>12.507487864077669</v>
      </c>
      <c r="O41" s="177">
        <f t="shared" si="45"/>
        <v>3.4559999999999995</v>
      </c>
      <c r="P41" s="222">
        <f t="shared" si="65"/>
        <v>1.0422906553398057</v>
      </c>
      <c r="Q41" s="222">
        <f t="shared" si="66"/>
        <v>12</v>
      </c>
      <c r="R41" s="222">
        <f t="shared" si="67"/>
        <v>1.0971480582524269</v>
      </c>
      <c r="S41" s="177">
        <f t="shared" si="68"/>
        <v>77.83228613198095</v>
      </c>
      <c r="T41" s="177">
        <f t="shared" si="69"/>
        <v>12</v>
      </c>
      <c r="U41" s="222">
        <f t="shared" si="70"/>
        <v>1.1328893662728248</v>
      </c>
      <c r="V41" s="222">
        <f t="shared" si="71"/>
        <v>0.5874241158451684</v>
      </c>
      <c r="W41" s="222">
        <f t="shared" si="72"/>
        <v>0.64736535215589985</v>
      </c>
      <c r="X41" s="202">
        <f t="shared" si="73"/>
        <v>350</v>
      </c>
      <c r="Y41" s="452">
        <f t="shared" si="46"/>
        <v>350</v>
      </c>
      <c r="AA41" s="222">
        <f t="shared" si="74"/>
        <v>2.6213592233009715</v>
      </c>
      <c r="AB41" s="178">
        <f t="shared" si="75"/>
        <v>1.4979195561719838</v>
      </c>
      <c r="AC41" s="178">
        <f t="shared" si="76"/>
        <v>0.68715241775850722</v>
      </c>
      <c r="AD41" s="178"/>
      <c r="AE41" s="178">
        <f t="shared" si="77"/>
        <v>0.46857142857142853</v>
      </c>
      <c r="AF41" s="560">
        <f>MAX(12, F41/(0.5*AE41/1000000*Isw_min*Nps)/1000)</f>
        <v>1499.1076740035694</v>
      </c>
      <c r="AG41" s="543">
        <f t="shared" si="78"/>
        <v>6.723999999999998E-2</v>
      </c>
      <c r="AI41" s="178">
        <f t="shared" si="79"/>
        <v>1.741143000264028</v>
      </c>
      <c r="AJ41" s="178">
        <f t="shared" si="80"/>
        <v>1.741143000264028</v>
      </c>
      <c r="AK41" s="178">
        <f t="shared" si="81"/>
        <v>1.8823281483437244</v>
      </c>
      <c r="AM41" s="560">
        <f t="shared" si="82"/>
        <v>288</v>
      </c>
      <c r="AN41" s="470">
        <f t="shared" si="83"/>
        <v>350</v>
      </c>
      <c r="AP41">
        <f t="shared" si="84"/>
        <v>288</v>
      </c>
      <c r="AQ41" s="470">
        <f t="shared" si="85"/>
        <v>350</v>
      </c>
      <c r="AR41" s="470"/>
      <c r="AS41" s="6">
        <f t="shared" si="47"/>
        <v>2.8571428571428572</v>
      </c>
      <c r="AT41" s="6">
        <f t="shared" si="86"/>
        <v>0.90281488902579221</v>
      </c>
      <c r="AU41" s="6">
        <f t="shared" si="48"/>
        <v>1.9543279681170649</v>
      </c>
      <c r="AV41" s="6">
        <f t="shared" si="87"/>
        <v>0.99493885729373033</v>
      </c>
      <c r="AW41" s="178">
        <f t="shared" si="49"/>
        <v>0.31598521115902728</v>
      </c>
      <c r="AX41" s="178">
        <f t="shared" si="88"/>
        <v>3.7136842105263157</v>
      </c>
      <c r="AY41" s="178">
        <f t="shared" si="89"/>
        <v>0.59548378083376841</v>
      </c>
      <c r="AZ41" s="178">
        <f t="shared" si="50"/>
        <v>6.2364153820051813</v>
      </c>
      <c r="BA41" s="470">
        <f>L*Isw_max^2/(2*Vout_ripple*Vout)*1000000000*((1+M41)/2)^2</f>
        <v>22.244671714791423</v>
      </c>
      <c r="BB41" s="470">
        <f>L*F41^2/(2*Cout*Vout*Nps^2)*1000000000*((1+M41)/(1-M41))^2+F41*RCoutEsr</f>
        <v>4.9422474389282902</v>
      </c>
      <c r="BC41" s="6">
        <f t="shared" si="90"/>
        <v>0.78020734477655918</v>
      </c>
      <c r="BD41" s="470">
        <f>((BY41/I41/Efficiency)*AU41/Cin+(BY41/I41/Efficiency)*RCinEsr)*1000</f>
        <v>53.472416825049315</v>
      </c>
      <c r="BE41" s="6"/>
      <c r="BF41" s="178">
        <f t="shared" si="51"/>
        <v>0.56507642958850335</v>
      </c>
      <c r="BG41" s="178">
        <f t="shared" si="91"/>
        <v>0.83139337531218216</v>
      </c>
      <c r="BH41" s="178"/>
      <c r="BI41" s="543">
        <f t="shared" si="92"/>
        <v>3.5124250840413984E-2</v>
      </c>
      <c r="BJ41" s="543">
        <f t="shared" si="93"/>
        <v>7.8460256449397761E-2</v>
      </c>
      <c r="BK41" s="543">
        <f t="shared" si="94"/>
        <v>1.7499999999999998E-2</v>
      </c>
      <c r="BL41" s="543">
        <f t="shared" si="95"/>
        <v>5.2216171874999995E-2</v>
      </c>
      <c r="BM41">
        <f t="shared" si="96"/>
        <v>3.9150000000000001E-3</v>
      </c>
      <c r="BN41" s="470">
        <f t="shared" si="52"/>
        <v>187.21567916481175</v>
      </c>
      <c r="BO41" s="543">
        <f t="shared" si="97"/>
        <v>0.1152</v>
      </c>
      <c r="BP41" s="543"/>
      <c r="BR41" s="470">
        <f t="shared" si="54"/>
        <v>115.2</v>
      </c>
      <c r="BS41" s="543">
        <f t="shared" si="98"/>
        <v>1.2772454851059632E-2</v>
      </c>
      <c r="BT41" s="543">
        <f t="shared" si="99"/>
        <v>2.7648597780519316E-2</v>
      </c>
      <c r="BU41" s="543">
        <f t="shared" si="100"/>
        <v>0</v>
      </c>
      <c r="BV41" s="543">
        <f t="shared" si="101"/>
        <v>3.9789473684210527E-2</v>
      </c>
      <c r="BW41" s="470">
        <f t="shared" si="55"/>
        <v>80.21052631578948</v>
      </c>
      <c r="BX41" s="178">
        <f t="shared" si="56"/>
        <v>0.38262620548060122</v>
      </c>
      <c r="BY41" s="6">
        <f t="shared" si="57"/>
        <v>3.4559999999999995</v>
      </c>
      <c r="BZ41" s="178">
        <f t="shared" si="58"/>
        <v>0.90032209832405496</v>
      </c>
      <c r="CA41" s="6">
        <f t="shared" si="59"/>
        <v>90.032209832405499</v>
      </c>
      <c r="CD41" s="577">
        <f t="shared" si="102"/>
        <v>-50</v>
      </c>
      <c r="CE41">
        <f t="shared" si="103"/>
        <v>-50</v>
      </c>
    </row>
    <row r="42" spans="5:83" x14ac:dyDescent="0.2">
      <c r="E42" s="175">
        <v>37</v>
      </c>
      <c r="F42" s="222">
        <f t="shared" si="104"/>
        <v>0.29599999999999999</v>
      </c>
      <c r="G42" s="222"/>
      <c r="H42" s="222">
        <f t="shared" si="60"/>
        <v>3.5519999999999996</v>
      </c>
      <c r="I42" s="556">
        <f t="shared" si="61"/>
        <v>13.5</v>
      </c>
      <c r="J42" s="177">
        <f t="shared" si="62"/>
        <v>12.25</v>
      </c>
      <c r="K42" s="452">
        <f t="shared" si="63"/>
        <v>25.75</v>
      </c>
      <c r="L42" s="452"/>
      <c r="M42" s="222">
        <f t="shared" si="64"/>
        <v>0.47572815533980584</v>
      </c>
      <c r="N42" s="177">
        <f t="shared" si="5"/>
        <v>12.507487864077669</v>
      </c>
      <c r="O42" s="177">
        <f t="shared" si="45"/>
        <v>3.5519999999999996</v>
      </c>
      <c r="P42" s="222">
        <f t="shared" si="65"/>
        <v>1.0422906553398057</v>
      </c>
      <c r="Q42" s="222">
        <f t="shared" si="66"/>
        <v>12</v>
      </c>
      <c r="R42" s="222">
        <f t="shared" si="67"/>
        <v>1.0971480582524269</v>
      </c>
      <c r="S42" s="177">
        <f t="shared" si="68"/>
        <v>75.366423701364553</v>
      </c>
      <c r="T42" s="177">
        <f t="shared" si="69"/>
        <v>12</v>
      </c>
      <c r="U42" s="222">
        <f t="shared" si="70"/>
        <v>1.1643585153359588</v>
      </c>
      <c r="V42" s="222">
        <f t="shared" si="71"/>
        <v>0.60374145239642307</v>
      </c>
      <c r="W42" s="222">
        <f t="shared" si="72"/>
        <v>0.66534772304911927</v>
      </c>
      <c r="X42" s="202">
        <f t="shared" si="73"/>
        <v>350</v>
      </c>
      <c r="Y42" s="452">
        <f t="shared" si="46"/>
        <v>350</v>
      </c>
      <c r="AA42" s="222">
        <f t="shared" si="74"/>
        <v>2.6213592233009715</v>
      </c>
      <c r="AB42" s="178">
        <f t="shared" si="75"/>
        <v>1.4979195561719838</v>
      </c>
      <c r="AC42" s="178">
        <f t="shared" si="76"/>
        <v>0.68715241775850722</v>
      </c>
      <c r="AD42" s="178"/>
      <c r="AE42" s="178">
        <f t="shared" si="77"/>
        <v>0.46857142857142853</v>
      </c>
      <c r="AF42" s="560">
        <f>MAX(12, F42/(0.5*AE42/1000000*Isw_min*Nps)/1000)</f>
        <v>1540.7495538370019</v>
      </c>
      <c r="AG42" s="543">
        <f t="shared" si="78"/>
        <v>6.723999999999998E-2</v>
      </c>
      <c r="AI42" s="178">
        <f t="shared" si="79"/>
        <v>1.7651599003161755</v>
      </c>
      <c r="AJ42" s="178">
        <f t="shared" si="80"/>
        <v>1.7651599003161755</v>
      </c>
      <c r="AK42" s="178">
        <f t="shared" si="81"/>
        <v>1.9001184446786485</v>
      </c>
      <c r="AM42" s="560">
        <f t="shared" si="82"/>
        <v>296</v>
      </c>
      <c r="AN42" s="470">
        <f t="shared" si="83"/>
        <v>350</v>
      </c>
      <c r="AP42">
        <f t="shared" si="84"/>
        <v>296</v>
      </c>
      <c r="AQ42" s="470">
        <f t="shared" si="85"/>
        <v>350</v>
      </c>
      <c r="AR42" s="470"/>
      <c r="AS42" s="6">
        <f t="shared" si="47"/>
        <v>2.8571428571428572</v>
      </c>
      <c r="AT42" s="6">
        <f t="shared" si="86"/>
        <v>0.9152680964602391</v>
      </c>
      <c r="AU42" s="6">
        <f t="shared" si="48"/>
        <v>1.9418747606826181</v>
      </c>
      <c r="AV42" s="6">
        <f t="shared" si="87"/>
        <v>1.0086628001806717</v>
      </c>
      <c r="AW42" s="178">
        <f t="shared" si="49"/>
        <v>0.32034383376108366</v>
      </c>
      <c r="AX42" s="178">
        <f t="shared" si="88"/>
        <v>3.8168421052631585</v>
      </c>
      <c r="AY42" s="178">
        <f t="shared" si="89"/>
        <v>0.59985090532377983</v>
      </c>
      <c r="AZ42" s="178">
        <f t="shared" si="50"/>
        <v>6.3629846539999013</v>
      </c>
      <c r="BA42" s="470">
        <f>L*Isw_max^2/(2*Vout_ripple*Vout)*1000000000*((1+M42)/2)^2</f>
        <v>22.244671714791423</v>
      </c>
      <c r="BB42" s="470">
        <f>L*F42^2/(2*Cout*Vout*Nps^2)*1000000000*((1+M42)/(1-M42))^2+F42*RCoutEsr</f>
        <v>5.1959635369543431</v>
      </c>
      <c r="BC42" s="6">
        <f t="shared" si="90"/>
        <v>0.79677009890343331</v>
      </c>
      <c r="BD42" s="470">
        <f>((BY42/I42/Efficiency)*AU42/Cin+(BY42/I42/Efficiency)*RCinEsr)*1000</f>
        <v>54.612858868964203</v>
      </c>
      <c r="BE42" s="6"/>
      <c r="BF42" s="178">
        <f t="shared" si="51"/>
        <v>0.57680844457307467</v>
      </c>
      <c r="BG42" s="178">
        <f t="shared" si="91"/>
        <v>0.84017171429253712</v>
      </c>
      <c r="BH42" s="178"/>
      <c r="BI42" s="543">
        <f t="shared" si="92"/>
        <v>3.659787799038907E-2</v>
      </c>
      <c r="BJ42" s="543">
        <f t="shared" si="93"/>
        <v>7.9542518007997665E-2</v>
      </c>
      <c r="BK42" s="543">
        <f t="shared" si="94"/>
        <v>1.7499999999999998E-2</v>
      </c>
      <c r="BL42" s="543">
        <f t="shared" si="95"/>
        <v>5.2216171874999995E-2</v>
      </c>
      <c r="BM42">
        <f t="shared" si="96"/>
        <v>3.9150000000000001E-3</v>
      </c>
      <c r="BN42" s="470">
        <f t="shared" si="52"/>
        <v>189.77156787338672</v>
      </c>
      <c r="BO42" s="543">
        <f t="shared" si="97"/>
        <v>0.11840000000000001</v>
      </c>
      <c r="BP42" s="543"/>
      <c r="BR42" s="470">
        <f t="shared" si="54"/>
        <v>118.4</v>
      </c>
      <c r="BS42" s="543">
        <f t="shared" si="98"/>
        <v>1.3308319269232389E-2</v>
      </c>
      <c r="BT42" s="543">
        <f t="shared" si="99"/>
        <v>2.8235540379890428E-2</v>
      </c>
      <c r="BU42" s="543">
        <f t="shared" si="100"/>
        <v>0</v>
      </c>
      <c r="BV42" s="543">
        <f t="shared" si="101"/>
        <v>4.0894736842105275E-2</v>
      </c>
      <c r="BW42" s="470">
        <f t="shared" si="55"/>
        <v>82.438596491228083</v>
      </c>
      <c r="BX42" s="178">
        <f t="shared" si="56"/>
        <v>0.39061016436461476</v>
      </c>
      <c r="BY42" s="6">
        <f t="shared" si="57"/>
        <v>3.5519999999999996</v>
      </c>
      <c r="BZ42" s="178">
        <f t="shared" si="58"/>
        <v>0.90092599874693291</v>
      </c>
      <c r="CA42" s="6">
        <f t="shared" si="59"/>
        <v>90.092599874693292</v>
      </c>
      <c r="CD42" s="577">
        <f t="shared" si="102"/>
        <v>-50</v>
      </c>
      <c r="CE42">
        <f t="shared" si="103"/>
        <v>-50</v>
      </c>
    </row>
    <row r="43" spans="5:83" x14ac:dyDescent="0.2">
      <c r="E43" s="175">
        <v>38</v>
      </c>
      <c r="F43" s="222">
        <f t="shared" si="104"/>
        <v>0.30400000000000005</v>
      </c>
      <c r="G43" s="222"/>
      <c r="H43" s="222">
        <f t="shared" si="60"/>
        <v>3.6480000000000006</v>
      </c>
      <c r="I43" s="556">
        <f t="shared" si="61"/>
        <v>13.5</v>
      </c>
      <c r="J43" s="177">
        <f t="shared" si="62"/>
        <v>12.25</v>
      </c>
      <c r="K43" s="452">
        <f t="shared" si="63"/>
        <v>25.75</v>
      </c>
      <c r="L43" s="452"/>
      <c r="M43" s="222">
        <f t="shared" si="64"/>
        <v>0.47572815533980584</v>
      </c>
      <c r="N43" s="177">
        <f t="shared" si="5"/>
        <v>12.507487864077669</v>
      </c>
      <c r="O43" s="177">
        <f t="shared" si="45"/>
        <v>3.6480000000000006</v>
      </c>
      <c r="P43" s="222">
        <f t="shared" si="65"/>
        <v>1.0422906553398057</v>
      </c>
      <c r="Q43" s="222">
        <f t="shared" si="66"/>
        <v>12</v>
      </c>
      <c r="R43" s="222">
        <f t="shared" si="67"/>
        <v>1.0971480582524269</v>
      </c>
      <c r="S43" s="177">
        <f t="shared" si="68"/>
        <v>73.030430951857269</v>
      </c>
      <c r="T43" s="177">
        <f t="shared" si="69"/>
        <v>12</v>
      </c>
      <c r="U43" s="222">
        <f t="shared" si="70"/>
        <v>1.195827664399093</v>
      </c>
      <c r="V43" s="222">
        <f t="shared" si="71"/>
        <v>0.62005878894767785</v>
      </c>
      <c r="W43" s="222">
        <f t="shared" si="72"/>
        <v>0.6833300939423389</v>
      </c>
      <c r="X43" s="202">
        <f t="shared" si="73"/>
        <v>350</v>
      </c>
      <c r="Y43" s="452">
        <f t="shared" si="46"/>
        <v>350</v>
      </c>
      <c r="AA43" s="222">
        <f t="shared" si="74"/>
        <v>2.6213592233009715</v>
      </c>
      <c r="AB43" s="178">
        <f t="shared" si="75"/>
        <v>1.4979195561719838</v>
      </c>
      <c r="AC43" s="178">
        <f t="shared" si="76"/>
        <v>0.68715241775850722</v>
      </c>
      <c r="AD43" s="178"/>
      <c r="AE43" s="178">
        <f t="shared" si="77"/>
        <v>0.46857142857142853</v>
      </c>
      <c r="AF43" s="560">
        <f>MAX(12, F43/(0.5*AE43/1000000*Isw_min*Nps)/1000)</f>
        <v>1582.3914336704349</v>
      </c>
      <c r="AG43" s="543">
        <f t="shared" si="78"/>
        <v>6.723999999999998E-2</v>
      </c>
      <c r="AI43" s="178">
        <f t="shared" si="79"/>
        <v>1.7888543819998322</v>
      </c>
      <c r="AJ43" s="178">
        <f t="shared" si="80"/>
        <v>1.7888543819998322</v>
      </c>
      <c r="AK43" s="178">
        <f t="shared" si="81"/>
        <v>1.9176699125924683</v>
      </c>
      <c r="AM43" s="560">
        <f t="shared" si="82"/>
        <v>304.00000000000006</v>
      </c>
      <c r="AN43" s="470">
        <f t="shared" si="83"/>
        <v>350</v>
      </c>
      <c r="AP43">
        <f t="shared" si="84"/>
        <v>304.00000000000006</v>
      </c>
      <c r="AQ43" s="470">
        <f t="shared" si="85"/>
        <v>350</v>
      </c>
      <c r="AR43" s="470"/>
      <c r="AS43" s="6">
        <f t="shared" si="47"/>
        <v>2.8571428571428572</v>
      </c>
      <c r="AT43" s="6">
        <f t="shared" si="86"/>
        <v>0.92755412399991299</v>
      </c>
      <c r="AU43" s="6">
        <f t="shared" si="48"/>
        <v>1.9295887331429442</v>
      </c>
      <c r="AV43" s="6">
        <f t="shared" si="87"/>
        <v>1.0222025039999041</v>
      </c>
      <c r="AW43" s="178">
        <f t="shared" si="49"/>
        <v>0.32464394339996955</v>
      </c>
      <c r="AX43" s="178">
        <f t="shared" si="88"/>
        <v>3.9200000000000017</v>
      </c>
      <c r="AY43" s="178">
        <f t="shared" si="89"/>
        <v>0.60405682062954558</v>
      </c>
      <c r="AZ43" s="178">
        <f t="shared" si="50"/>
        <v>6.4894557368205747</v>
      </c>
      <c r="BA43" s="470">
        <f>L*Isw_max^2/(2*Vout_ripple*Vout)*1000000000*((1+M43)/2)^2</f>
        <v>22.244671714791423</v>
      </c>
      <c r="BB43" s="470">
        <f>L*F43^2/(2*Cout*Vout*Nps^2)*1000000000*((1+M43)/(1-M43))^2+F43*RCoutEsr</f>
        <v>5.4559732267071395</v>
      </c>
      <c r="BC43" s="6">
        <f t="shared" si="90"/>
        <v>0.81312710400756172</v>
      </c>
      <c r="BD43" s="470">
        <f>((BY43/I43/Efficiency)*AU43/Cin+(BY43/I43/Efficiency)*RCinEsr)*1000</f>
        <v>55.739412853843753</v>
      </c>
      <c r="BE43" s="6"/>
      <c r="BF43" s="178">
        <f t="shared" si="51"/>
        <v>0.58846144560197633</v>
      </c>
      <c r="BG43" s="178">
        <f t="shared" si="91"/>
        <v>0.84875190350696683</v>
      </c>
      <c r="BH43" s="178"/>
      <c r="BI43" s="543">
        <f t="shared" si="92"/>
        <v>3.8091556025596454E-2</v>
      </c>
      <c r="BJ43" s="543">
        <f t="shared" si="93"/>
        <v>8.0610250588867435E-2</v>
      </c>
      <c r="BK43" s="543">
        <f t="shared" si="94"/>
        <v>1.7499999999999998E-2</v>
      </c>
      <c r="BL43" s="543">
        <f t="shared" si="95"/>
        <v>5.2216171874999995E-2</v>
      </c>
      <c r="BM43">
        <f t="shared" si="96"/>
        <v>3.9150000000000001E-3</v>
      </c>
      <c r="BN43" s="470">
        <f t="shared" si="52"/>
        <v>192.33297848946387</v>
      </c>
      <c r="BO43" s="543">
        <f t="shared" si="97"/>
        <v>0.12160000000000003</v>
      </c>
      <c r="BP43" s="543"/>
      <c r="BR43" s="470">
        <f t="shared" si="54"/>
        <v>121.60000000000002</v>
      </c>
      <c r="BS43" s="543">
        <f t="shared" si="98"/>
        <v>1.385147491839871E-2</v>
      </c>
      <c r="BT43" s="543">
        <f t="shared" si="99"/>
        <v>2.8815191748267983E-2</v>
      </c>
      <c r="BU43" s="543">
        <f t="shared" si="100"/>
        <v>0</v>
      </c>
      <c r="BV43" s="543">
        <f t="shared" si="101"/>
        <v>4.2000000000000023E-2</v>
      </c>
      <c r="BW43" s="470">
        <f t="shared" si="55"/>
        <v>84.666666666666728</v>
      </c>
      <c r="BX43" s="178">
        <f t="shared" si="56"/>
        <v>0.39859964515613061</v>
      </c>
      <c r="BY43" s="6">
        <f t="shared" si="57"/>
        <v>3.6480000000000006</v>
      </c>
      <c r="BZ43" s="178">
        <f t="shared" si="58"/>
        <v>0.90149763255347914</v>
      </c>
      <c r="CA43" s="6">
        <f t="shared" si="59"/>
        <v>90.149763255347921</v>
      </c>
      <c r="CD43" s="577">
        <f t="shared" si="102"/>
        <v>-50</v>
      </c>
      <c r="CE43">
        <f t="shared" si="103"/>
        <v>-50</v>
      </c>
    </row>
    <row r="44" spans="5:83" x14ac:dyDescent="0.2">
      <c r="E44" s="175">
        <v>39</v>
      </c>
      <c r="F44" s="222">
        <f t="shared" si="104"/>
        <v>0.31200000000000006</v>
      </c>
      <c r="G44" s="222"/>
      <c r="H44" s="222">
        <f t="shared" si="60"/>
        <v>3.7440000000000007</v>
      </c>
      <c r="I44" s="556">
        <f t="shared" si="61"/>
        <v>13.5</v>
      </c>
      <c r="J44" s="177">
        <f t="shared" si="62"/>
        <v>12.25</v>
      </c>
      <c r="K44" s="452">
        <f t="shared" si="63"/>
        <v>25.75</v>
      </c>
      <c r="L44" s="452"/>
      <c r="M44" s="222">
        <f t="shared" si="64"/>
        <v>0.47572815533980584</v>
      </c>
      <c r="N44" s="177">
        <f t="shared" si="5"/>
        <v>12.507487864077669</v>
      </c>
      <c r="O44" s="177">
        <f t="shared" si="45"/>
        <v>3.7440000000000007</v>
      </c>
      <c r="P44" s="222">
        <f t="shared" si="65"/>
        <v>1.0422906553398057</v>
      </c>
      <c r="Q44" s="222">
        <f t="shared" si="66"/>
        <v>12</v>
      </c>
      <c r="R44" s="222">
        <f t="shared" si="67"/>
        <v>1.0971480582524269</v>
      </c>
      <c r="S44" s="177">
        <f t="shared" si="68"/>
        <v>70.814319111030287</v>
      </c>
      <c r="T44" s="177">
        <f t="shared" si="69"/>
        <v>12</v>
      </c>
      <c r="U44" s="222">
        <f t="shared" si="70"/>
        <v>1.2272968134622273</v>
      </c>
      <c r="V44" s="222">
        <f t="shared" si="71"/>
        <v>0.63637612549893274</v>
      </c>
      <c r="W44" s="222">
        <f t="shared" si="72"/>
        <v>0.70131246483555842</v>
      </c>
      <c r="X44" s="202">
        <f t="shared" si="73"/>
        <v>350</v>
      </c>
      <c r="Y44" s="452">
        <f t="shared" si="46"/>
        <v>350</v>
      </c>
      <c r="AA44" s="222">
        <f t="shared" si="74"/>
        <v>2.6213592233009715</v>
      </c>
      <c r="AB44" s="178">
        <f t="shared" si="75"/>
        <v>1.4979195561719838</v>
      </c>
      <c r="AC44" s="178">
        <f t="shared" si="76"/>
        <v>0.68715241775850722</v>
      </c>
      <c r="AD44" s="178"/>
      <c r="AE44" s="178">
        <f t="shared" si="77"/>
        <v>0.46857142857142853</v>
      </c>
      <c r="AF44" s="560">
        <f>MAX(12, F44/(0.5*AE44/1000000*Isw_min*Nps)/1000)</f>
        <v>1624.0333135038672</v>
      </c>
      <c r="AG44" s="543">
        <f t="shared" si="78"/>
        <v>6.723999999999998E-2</v>
      </c>
      <c r="AI44" s="178">
        <f t="shared" si="79"/>
        <v>1.8122390919290396</v>
      </c>
      <c r="AJ44" s="178">
        <f t="shared" si="80"/>
        <v>1.8122390919290396</v>
      </c>
      <c r="AK44" s="178">
        <f t="shared" si="81"/>
        <v>1.9349919199474368</v>
      </c>
      <c r="AM44" s="560">
        <f t="shared" si="82"/>
        <v>312.00000000000006</v>
      </c>
      <c r="AN44" s="470">
        <f t="shared" si="83"/>
        <v>350</v>
      </c>
      <c r="AP44">
        <f t="shared" si="84"/>
        <v>312.00000000000006</v>
      </c>
      <c r="AQ44" s="470">
        <f t="shared" si="85"/>
        <v>350</v>
      </c>
      <c r="AR44" s="470"/>
      <c r="AS44" s="6">
        <f t="shared" si="47"/>
        <v>2.8571428571428572</v>
      </c>
      <c r="AT44" s="6">
        <f t="shared" si="86"/>
        <v>0.93967952914839092</v>
      </c>
      <c r="AU44" s="6">
        <f t="shared" si="48"/>
        <v>1.9174633279944664</v>
      </c>
      <c r="AV44" s="6">
        <f t="shared" si="87"/>
        <v>1.0355651953880225</v>
      </c>
      <c r="AW44" s="178">
        <f t="shared" si="49"/>
        <v>0.32888783520193682</v>
      </c>
      <c r="AX44" s="178">
        <f t="shared" si="88"/>
        <v>4.0231578947368432</v>
      </c>
      <c r="AY44" s="178">
        <f t="shared" si="89"/>
        <v>0.60810785005808699</v>
      </c>
      <c r="AZ44" s="178">
        <f t="shared" si="50"/>
        <v>6.6158624565569211</v>
      </c>
      <c r="BA44" s="470">
        <f>L*Isw_max^2/(2*Vout_ripple*Vout)*1000000000*((1+M44)/2)^2</f>
        <v>22.244671714791423</v>
      </c>
      <c r="BB44" s="470">
        <f>L*F44^2/(2*Cout*Vout*Nps^2)*1000000000*((1+M44)/(1-M44))^2+F44*RCoutEsr</f>
        <v>5.7222765081866758</v>
      </c>
      <c r="BC44" s="6">
        <f t="shared" si="90"/>
        <v>0.82928108584348093</v>
      </c>
      <c r="BD44" s="470">
        <f>((BY44/I44/Efficiency)*AU44/Cin+(BY44/I44/Efficiency)*RCinEsr)*1000</f>
        <v>56.852262768119182</v>
      </c>
      <c r="BE44" s="6"/>
      <c r="BF44" s="178">
        <f t="shared" si="51"/>
        <v>0.60003802389165695</v>
      </c>
      <c r="BG44" s="178">
        <f t="shared" si="91"/>
        <v>0.85714130223053575</v>
      </c>
      <c r="BH44" s="178"/>
      <c r="BI44" s="543">
        <f t="shared" si="92"/>
        <v>3.9605019312738514E-2</v>
      </c>
      <c r="BJ44" s="543">
        <f t="shared" si="93"/>
        <v>8.1664024080052355E-2</v>
      </c>
      <c r="BK44" s="543">
        <f t="shared" si="94"/>
        <v>1.7499999999999998E-2</v>
      </c>
      <c r="BL44" s="543">
        <f t="shared" si="95"/>
        <v>5.2216171874999995E-2</v>
      </c>
      <c r="BM44">
        <f t="shared" si="96"/>
        <v>3.9150000000000001E-3</v>
      </c>
      <c r="BN44" s="470">
        <f t="shared" si="52"/>
        <v>194.90021526779086</v>
      </c>
      <c r="BO44" s="543">
        <f t="shared" si="97"/>
        <v>0.12480000000000002</v>
      </c>
      <c r="BP44" s="543"/>
      <c r="BR44" s="470">
        <f t="shared" si="54"/>
        <v>124.80000000000003</v>
      </c>
      <c r="BS44" s="543">
        <f t="shared" si="98"/>
        <v>1.4401825204632186E-2</v>
      </c>
      <c r="BT44" s="543">
        <f t="shared" si="99"/>
        <v>2.9387648479578345E-2</v>
      </c>
      <c r="BU44" s="543">
        <f t="shared" si="100"/>
        <v>0</v>
      </c>
      <c r="BV44" s="543">
        <f t="shared" si="101"/>
        <v>4.3105263157894758E-2</v>
      </c>
      <c r="BW44" s="470">
        <f t="shared" si="55"/>
        <v>86.894736842105289</v>
      </c>
      <c r="BX44" s="178">
        <f t="shared" si="56"/>
        <v>0.40659495210989621</v>
      </c>
      <c r="BY44" s="6">
        <f t="shared" si="57"/>
        <v>3.7440000000000007</v>
      </c>
      <c r="BZ44" s="178">
        <f t="shared" si="58"/>
        <v>0.9020393565738789</v>
      </c>
      <c r="CA44" s="6">
        <f t="shared" si="59"/>
        <v>90.203935657387888</v>
      </c>
      <c r="CD44" s="577">
        <f t="shared" si="102"/>
        <v>-50</v>
      </c>
      <c r="CE44">
        <f t="shared" si="103"/>
        <v>-50</v>
      </c>
    </row>
    <row r="45" spans="5:83" x14ac:dyDescent="0.2">
      <c r="E45" s="175">
        <v>40</v>
      </c>
      <c r="F45" s="222">
        <f t="shared" si="104"/>
        <v>0.32000000000000006</v>
      </c>
      <c r="G45" s="222"/>
      <c r="H45" s="222">
        <f t="shared" si="60"/>
        <v>3.8400000000000007</v>
      </c>
      <c r="I45" s="556">
        <f t="shared" si="61"/>
        <v>13.5</v>
      </c>
      <c r="J45" s="177">
        <f t="shared" si="62"/>
        <v>12.25</v>
      </c>
      <c r="K45" s="452">
        <f t="shared" si="63"/>
        <v>25.75</v>
      </c>
      <c r="L45" s="452"/>
      <c r="M45" s="222">
        <f t="shared" si="64"/>
        <v>0.47572815533980584</v>
      </c>
      <c r="N45" s="177">
        <f t="shared" si="5"/>
        <v>12.507487864077669</v>
      </c>
      <c r="O45" s="177">
        <f t="shared" si="45"/>
        <v>3.8400000000000007</v>
      </c>
      <c r="P45" s="222">
        <f t="shared" si="65"/>
        <v>1.0422906553398057</v>
      </c>
      <c r="Q45" s="222">
        <f t="shared" si="66"/>
        <v>12</v>
      </c>
      <c r="R45" s="222">
        <f t="shared" si="67"/>
        <v>1.0971480582524269</v>
      </c>
      <c r="S45" s="177">
        <f t="shared" si="68"/>
        <v>68.709098305260895</v>
      </c>
      <c r="T45" s="177">
        <f t="shared" si="69"/>
        <v>12</v>
      </c>
      <c r="U45" s="222">
        <f t="shared" si="70"/>
        <v>1.2587659625253613</v>
      </c>
      <c r="V45" s="222">
        <f t="shared" si="71"/>
        <v>0.6526934620501873</v>
      </c>
      <c r="W45" s="222">
        <f t="shared" si="72"/>
        <v>0.71929483572877784</v>
      </c>
      <c r="X45" s="202">
        <f t="shared" si="73"/>
        <v>350</v>
      </c>
      <c r="Y45" s="452">
        <f t="shared" si="46"/>
        <v>350</v>
      </c>
      <c r="AA45" s="222">
        <f t="shared" si="74"/>
        <v>2.6213592233009715</v>
      </c>
      <c r="AB45" s="178">
        <f t="shared" si="75"/>
        <v>1.4979195561719838</v>
      </c>
      <c r="AC45" s="178">
        <f t="shared" si="76"/>
        <v>0.68715241775850722</v>
      </c>
      <c r="AD45" s="178"/>
      <c r="AE45" s="178">
        <f t="shared" si="77"/>
        <v>0.46857142857142853</v>
      </c>
      <c r="AF45" s="560">
        <f>MAX(12, F45/(0.5*AE45/1000000*Isw_min*Nps)/1000)</f>
        <v>1665.6751933372998</v>
      </c>
      <c r="AG45" s="543">
        <f t="shared" si="78"/>
        <v>6.723999999999998E-2</v>
      </c>
      <c r="AI45" s="178">
        <f t="shared" si="79"/>
        <v>1.8353258709644944</v>
      </c>
      <c r="AJ45" s="178">
        <f t="shared" si="80"/>
        <v>1.8353258709644944</v>
      </c>
      <c r="AK45" s="178">
        <f t="shared" si="81"/>
        <v>1.9520932377514775</v>
      </c>
      <c r="AM45" s="560">
        <f t="shared" si="82"/>
        <v>320.00000000000006</v>
      </c>
      <c r="AN45" s="470">
        <f t="shared" si="83"/>
        <v>350</v>
      </c>
      <c r="AP45">
        <f t="shared" si="84"/>
        <v>320.00000000000006</v>
      </c>
      <c r="AQ45" s="470">
        <f t="shared" si="85"/>
        <v>350</v>
      </c>
      <c r="AR45" s="470"/>
      <c r="AS45" s="6">
        <f t="shared" si="47"/>
        <v>2.8571428571428572</v>
      </c>
      <c r="AT45" s="6">
        <f t="shared" si="86"/>
        <v>0.95165045161121931</v>
      </c>
      <c r="AU45" s="6">
        <f t="shared" si="48"/>
        <v>1.9054924055316378</v>
      </c>
      <c r="AV45" s="6">
        <f t="shared" si="87"/>
        <v>1.0487576405511396</v>
      </c>
      <c r="AW45" s="178">
        <f t="shared" si="49"/>
        <v>0.33307765806392675</v>
      </c>
      <c r="AX45" s="178">
        <f t="shared" si="88"/>
        <v>4.1263157894736855</v>
      </c>
      <c r="AY45" s="178">
        <f t="shared" si="89"/>
        <v>0.61200991403975202</v>
      </c>
      <c r="AZ45" s="178">
        <f t="shared" si="50"/>
        <v>6.7422368409634421</v>
      </c>
      <c r="BA45" s="470">
        <f>L*Isw_max^2/(2*Vout_ripple*Vout)*1000000000*((1+M45)/2)^2</f>
        <v>22.244671714791423</v>
      </c>
      <c r="BB45" s="470">
        <f>L*F45^2/(2*Cout*Vout*Nps^2)*1000000000*((1+M45)/(1-M45))^2+F45*RCoutEsr</f>
        <v>5.9948733813929529</v>
      </c>
      <c r="BC45" s="6">
        <f t="shared" si="90"/>
        <v>0.84523466461529018</v>
      </c>
      <c r="BD45" s="470">
        <f>((BY45/I45/Efficiency)*AU45/Cin+(BY45/I45/Efficiency)*RCinEsr)*1000</f>
        <v>57.951585475567178</v>
      </c>
      <c r="BE45" s="6"/>
      <c r="BF45" s="178">
        <f t="shared" si="51"/>
        <v>0.6115406215953697</v>
      </c>
      <c r="BG45" s="178">
        <f t="shared" si="91"/>
        <v>0.86534680081607096</v>
      </c>
      <c r="BH45" s="178"/>
      <c r="BI45" s="543">
        <f t="shared" si="92"/>
        <v>4.1138012504737628E-2</v>
      </c>
      <c r="BJ45" s="543">
        <f t="shared" si="93"/>
        <v>8.2704372060337539E-2</v>
      </c>
      <c r="BK45" s="543">
        <f t="shared" si="94"/>
        <v>1.7499999999999998E-2</v>
      </c>
      <c r="BL45" s="543">
        <f t="shared" si="95"/>
        <v>5.2216171874999995E-2</v>
      </c>
      <c r="BM45">
        <f t="shared" si="96"/>
        <v>3.9150000000000001E-3</v>
      </c>
      <c r="BN45" s="470">
        <f t="shared" si="52"/>
        <v>197.47355644007516</v>
      </c>
      <c r="BO45" s="543">
        <f t="shared" si="97"/>
        <v>0.12800000000000003</v>
      </c>
      <c r="BP45" s="543"/>
      <c r="BR45" s="470">
        <f t="shared" si="54"/>
        <v>128.00000000000003</v>
      </c>
      <c r="BS45" s="543">
        <f t="shared" si="98"/>
        <v>1.4959277274450048E-2</v>
      </c>
      <c r="BT45" s="543">
        <f t="shared" si="99"/>
        <v>2.9953003427304351E-2</v>
      </c>
      <c r="BU45" s="543">
        <f t="shared" si="100"/>
        <v>0</v>
      </c>
      <c r="BV45" s="543">
        <f t="shared" si="101"/>
        <v>4.4210526315789499E-2</v>
      </c>
      <c r="BW45" s="470">
        <f t="shared" si="55"/>
        <v>89.122807017543892</v>
      </c>
      <c r="BX45" s="178">
        <f t="shared" si="56"/>
        <v>0.41459636345761908</v>
      </c>
      <c r="BY45" s="6">
        <f t="shared" si="57"/>
        <v>3.8400000000000007</v>
      </c>
      <c r="BZ45" s="178">
        <f t="shared" si="58"/>
        <v>0.90255330281891055</v>
      </c>
      <c r="CA45" s="6">
        <f t="shared" si="59"/>
        <v>90.255330281891048</v>
      </c>
      <c r="CD45" s="577">
        <f t="shared" si="102"/>
        <v>-50</v>
      </c>
      <c r="CE45">
        <f t="shared" si="103"/>
        <v>-50</v>
      </c>
    </row>
    <row r="46" spans="5:83" x14ac:dyDescent="0.2">
      <c r="E46" s="175">
        <v>41</v>
      </c>
      <c r="F46" s="222">
        <f t="shared" si="104"/>
        <v>0.32800000000000001</v>
      </c>
      <c r="G46" s="222"/>
      <c r="H46" s="222">
        <f t="shared" si="60"/>
        <v>3.9359999999999999</v>
      </c>
      <c r="I46" s="556">
        <f t="shared" si="61"/>
        <v>13.5</v>
      </c>
      <c r="J46" s="177">
        <f t="shared" si="62"/>
        <v>12.25</v>
      </c>
      <c r="K46" s="452">
        <f t="shared" si="63"/>
        <v>25.75</v>
      </c>
      <c r="L46" s="452"/>
      <c r="M46" s="222">
        <f t="shared" si="64"/>
        <v>0.47572815533980584</v>
      </c>
      <c r="N46" s="177">
        <f t="shared" si="5"/>
        <v>12.507487864077669</v>
      </c>
      <c r="O46" s="177">
        <f t="shared" si="45"/>
        <v>3.9359999999999999</v>
      </c>
      <c r="P46" s="222">
        <f t="shared" si="65"/>
        <v>1.0422906553398057</v>
      </c>
      <c r="Q46" s="222">
        <f t="shared" si="66"/>
        <v>12</v>
      </c>
      <c r="R46" s="222">
        <f t="shared" si="67"/>
        <v>1.0971480582524269</v>
      </c>
      <c r="S46" s="177">
        <f t="shared" si="68"/>
        <v>66.706655743275761</v>
      </c>
      <c r="T46" s="177">
        <f t="shared" si="69"/>
        <v>12</v>
      </c>
      <c r="U46" s="222">
        <f t="shared" si="70"/>
        <v>1.2902351115884951</v>
      </c>
      <c r="V46" s="222">
        <f t="shared" si="71"/>
        <v>0.66901079860144186</v>
      </c>
      <c r="W46" s="222">
        <f t="shared" si="72"/>
        <v>0.73727720662199714</v>
      </c>
      <c r="X46" s="202">
        <f t="shared" si="73"/>
        <v>350</v>
      </c>
      <c r="Y46" s="452">
        <f t="shared" si="46"/>
        <v>350</v>
      </c>
      <c r="AA46" s="222">
        <f t="shared" si="74"/>
        <v>2.6213592233009715</v>
      </c>
      <c r="AB46" s="178">
        <f t="shared" si="75"/>
        <v>1.4979195561719838</v>
      </c>
      <c r="AC46" s="178">
        <f t="shared" si="76"/>
        <v>0.68715241775850722</v>
      </c>
      <c r="AD46" s="178"/>
      <c r="AE46" s="178">
        <f t="shared" si="77"/>
        <v>0.46857142857142853</v>
      </c>
      <c r="AF46" s="560">
        <f>MAX(12, F46/(0.5*AE46/1000000*Isw_min*Nps)/1000)</f>
        <v>1707.3170731707321</v>
      </c>
      <c r="AG46" s="543">
        <f t="shared" si="78"/>
        <v>6.723999999999998E-2</v>
      </c>
      <c r="AI46" s="178">
        <f t="shared" si="79"/>
        <v>1.8581258243045247</v>
      </c>
      <c r="AJ46" s="178">
        <f t="shared" si="80"/>
        <v>1.8581258243045247</v>
      </c>
      <c r="AK46" s="178">
        <f t="shared" si="81"/>
        <v>1.9689820920774257</v>
      </c>
      <c r="AM46" s="560">
        <f t="shared" si="82"/>
        <v>328</v>
      </c>
      <c r="AN46" s="470">
        <f t="shared" si="83"/>
        <v>350</v>
      </c>
      <c r="AP46">
        <f t="shared" si="84"/>
        <v>328</v>
      </c>
      <c r="AQ46" s="470">
        <f t="shared" si="85"/>
        <v>350</v>
      </c>
      <c r="AR46" s="470"/>
      <c r="AS46" s="6">
        <f t="shared" si="47"/>
        <v>2.8571428571428572</v>
      </c>
      <c r="AT46" s="6">
        <f t="shared" si="86"/>
        <v>0.96347264963938317</v>
      </c>
      <c r="AU46" s="6">
        <f t="shared" si="48"/>
        <v>1.8936702075034741</v>
      </c>
      <c r="AV46" s="6">
        <f t="shared" si="87"/>
        <v>1.0617861853168711</v>
      </c>
      <c r="AW46" s="178">
        <f t="shared" si="49"/>
        <v>0.33721542737378413</v>
      </c>
      <c r="AX46" s="178">
        <f t="shared" si="88"/>
        <v>4.2294736842105278</v>
      </c>
      <c r="AY46" s="178">
        <f t="shared" si="89"/>
        <v>0.61576856517370471</v>
      </c>
      <c r="AZ46" s="178">
        <f t="shared" si="50"/>
        <v>6.8686092850768015</v>
      </c>
      <c r="BA46" s="470">
        <f>L*Isw_max^2/(2*Vout_ripple*Vout)*1000000000*((1+M46)/2)^2</f>
        <v>22.244671714791423</v>
      </c>
      <c r="BB46" s="470">
        <f>L*F46^2/(2*Cout*Vout*Nps^2)*1000000000*((1+M46)/(1-M46))^2+F46*RCoutEsr</f>
        <v>6.2737638463259691</v>
      </c>
      <c r="BC46" s="6">
        <f t="shared" si="90"/>
        <v>0.86099036161821374</v>
      </c>
      <c r="BD46" s="470">
        <f>((BY46/I46/Efficiency)*AU46/Cin+(BY46/I46/Efficiency)*RCinEsr)*1000</f>
        <v>59.037551163615397</v>
      </c>
      <c r="BE46" s="6"/>
      <c r="BF46" s="178">
        <f t="shared" si="51"/>
        <v>0.62297154388167697</v>
      </c>
      <c r="BG46" s="178">
        <f t="shared" si="91"/>
        <v>0.87337486138320719</v>
      </c>
      <c r="BH46" s="178"/>
      <c r="BI46" s="543">
        <f t="shared" si="92"/>
        <v>4.2690289893495222E-2</v>
      </c>
      <c r="BJ46" s="543">
        <f t="shared" si="93"/>
        <v>8.3731794957722636E-2</v>
      </c>
      <c r="BK46" s="543">
        <f t="shared" si="94"/>
        <v>1.7499999999999998E-2</v>
      </c>
      <c r="BL46" s="543">
        <f t="shared" si="95"/>
        <v>5.2216171874999995E-2</v>
      </c>
      <c r="BM46">
        <f t="shared" si="96"/>
        <v>3.9150000000000001E-3</v>
      </c>
      <c r="BN46" s="470">
        <f t="shared" si="52"/>
        <v>200.05325672621785</v>
      </c>
      <c r="BO46" s="543">
        <f t="shared" si="97"/>
        <v>0.13120000000000001</v>
      </c>
      <c r="BP46" s="543"/>
      <c r="BR46" s="470">
        <f t="shared" si="54"/>
        <v>131.20000000000002</v>
      </c>
      <c r="BS46" s="543">
        <f t="shared" si="98"/>
        <v>1.5523741779452807E-2</v>
      </c>
      <c r="BT46" s="543">
        <f t="shared" si="99"/>
        <v>3.0511345939845454E-2</v>
      </c>
      <c r="BU46" s="543">
        <f t="shared" si="100"/>
        <v>0</v>
      </c>
      <c r="BV46" s="543">
        <f t="shared" si="101"/>
        <v>4.5315789473684233E-2</v>
      </c>
      <c r="BW46" s="470">
        <f t="shared" si="55"/>
        <v>91.350877192982495</v>
      </c>
      <c r="BX46" s="178">
        <f t="shared" si="56"/>
        <v>0.42260413391920038</v>
      </c>
      <c r="BY46" s="6">
        <f t="shared" si="57"/>
        <v>3.9359999999999999</v>
      </c>
      <c r="BZ46" s="178">
        <f t="shared" si="58"/>
        <v>0.90304140478589401</v>
      </c>
      <c r="CA46" s="6">
        <f t="shared" si="59"/>
        <v>90.304140478589403</v>
      </c>
      <c r="CD46" s="577">
        <f t="shared" si="102"/>
        <v>-50</v>
      </c>
      <c r="CE46">
        <f t="shared" si="103"/>
        <v>-50</v>
      </c>
    </row>
    <row r="47" spans="5:83" x14ac:dyDescent="0.2">
      <c r="E47" s="175">
        <v>42</v>
      </c>
      <c r="F47" s="222">
        <f t="shared" si="104"/>
        <v>0.33600000000000002</v>
      </c>
      <c r="G47" s="222"/>
      <c r="H47" s="222">
        <f t="shared" si="60"/>
        <v>4.032</v>
      </c>
      <c r="I47" s="556">
        <f t="shared" si="61"/>
        <v>13.5</v>
      </c>
      <c r="J47" s="177">
        <f t="shared" si="62"/>
        <v>12.25</v>
      </c>
      <c r="K47" s="452">
        <f t="shared" si="63"/>
        <v>25.75</v>
      </c>
      <c r="L47" s="452"/>
      <c r="M47" s="222">
        <f t="shared" si="64"/>
        <v>0.47572815533980584</v>
      </c>
      <c r="N47" s="177">
        <f t="shared" si="5"/>
        <v>12.507487864077669</v>
      </c>
      <c r="O47" s="177">
        <f t="shared" si="45"/>
        <v>4.032</v>
      </c>
      <c r="P47" s="222">
        <f t="shared" si="65"/>
        <v>1.0422906553398057</v>
      </c>
      <c r="Q47" s="222">
        <f t="shared" si="66"/>
        <v>12</v>
      </c>
      <c r="R47" s="222">
        <f t="shared" si="67"/>
        <v>1.0971480582524269</v>
      </c>
      <c r="S47" s="177">
        <f t="shared" si="68"/>
        <v>64.799651302056759</v>
      </c>
      <c r="T47" s="177">
        <f t="shared" si="69"/>
        <v>12</v>
      </c>
      <c r="U47" s="222">
        <f t="shared" si="70"/>
        <v>1.3217042606516292</v>
      </c>
      <c r="V47" s="222">
        <f t="shared" si="71"/>
        <v>0.68532813515269653</v>
      </c>
      <c r="W47" s="222">
        <f t="shared" si="72"/>
        <v>0.75525957751521655</v>
      </c>
      <c r="X47" s="202">
        <f t="shared" si="73"/>
        <v>350</v>
      </c>
      <c r="Y47" s="452">
        <f t="shared" si="46"/>
        <v>350</v>
      </c>
      <c r="AA47" s="222">
        <f t="shared" si="74"/>
        <v>2.6213592233009715</v>
      </c>
      <c r="AB47" s="178">
        <f t="shared" si="75"/>
        <v>1.4979195561719838</v>
      </c>
      <c r="AC47" s="178">
        <f t="shared" si="76"/>
        <v>0.68715241775850722</v>
      </c>
      <c r="AD47" s="178"/>
      <c r="AE47" s="178">
        <f t="shared" si="77"/>
        <v>0.46857142857142853</v>
      </c>
      <c r="AF47" s="560">
        <f>MAX(12, F47/(0.5*AE47/1000000*Isw_min*Nps)/1000)</f>
        <v>1748.9589530041646</v>
      </c>
      <c r="AG47" s="543">
        <f t="shared" si="78"/>
        <v>6.723999999999998E-2</v>
      </c>
      <c r="AI47" s="178">
        <f t="shared" si="79"/>
        <v>1.8806493839265093</v>
      </c>
      <c r="AJ47" s="178">
        <f t="shared" si="80"/>
        <v>1.8806493839265093</v>
      </c>
      <c r="AK47" s="178">
        <f t="shared" si="81"/>
        <v>1.9856662103159328</v>
      </c>
      <c r="AM47" s="560">
        <f t="shared" si="82"/>
        <v>336</v>
      </c>
      <c r="AN47" s="470">
        <f t="shared" si="83"/>
        <v>350</v>
      </c>
      <c r="AP47">
        <f t="shared" si="84"/>
        <v>336</v>
      </c>
      <c r="AQ47" s="470">
        <f t="shared" si="85"/>
        <v>350</v>
      </c>
      <c r="AR47" s="470"/>
      <c r="AS47" s="6">
        <f t="shared" si="47"/>
        <v>2.8571428571428572</v>
      </c>
      <c r="AT47" s="6">
        <f t="shared" si="86"/>
        <v>0.97515153240633812</v>
      </c>
      <c r="AU47" s="6">
        <f t="shared" si="48"/>
        <v>1.8819913247365192</v>
      </c>
      <c r="AV47" s="6">
        <f t="shared" si="87"/>
        <v>1.0746567908151481</v>
      </c>
      <c r="AW47" s="178">
        <f t="shared" si="49"/>
        <v>0.34130303634221831</v>
      </c>
      <c r="AX47" s="178">
        <f t="shared" si="88"/>
        <v>4.3326315789473693</v>
      </c>
      <c r="AY47" s="178">
        <f t="shared" si="89"/>
        <v>0.61938901944863478</v>
      </c>
      <c r="AZ47" s="178">
        <f t="shared" si="50"/>
        <v>6.99500869874021</v>
      </c>
      <c r="BA47" s="470">
        <f>L*Isw_max^2/(2*Vout_ripple*Vout)*1000000000*((1+M47)/2)^2</f>
        <v>22.244671714791423</v>
      </c>
      <c r="BB47" s="470">
        <f>L*F47^2/(2*Cout*Vout*Nps^2)*1000000000*((1+M47)/(1-M47))^2+F47*RCoutEsr</f>
        <v>6.5589479029857287</v>
      </c>
      <c r="BC47" s="6">
        <f t="shared" si="90"/>
        <v>0.87655060530938067</v>
      </c>
      <c r="BD47" s="470">
        <f>((BY47/I47/Efficiency)*AU47/Cin+(BY47/I47/Efficiency)*RCinEsr)*1000</f>
        <v>60.110323753120049</v>
      </c>
      <c r="BE47" s="6"/>
      <c r="BF47" s="178">
        <f t="shared" si="51"/>
        <v>0.63433296976412412</v>
      </c>
      <c r="BG47" s="178">
        <f t="shared" si="91"/>
        <v>0.88123155407150489</v>
      </c>
      <c r="BH47" s="178"/>
      <c r="BI47" s="543">
        <f t="shared" si="92"/>
        <v>4.426161481827505E-2</v>
      </c>
      <c r="BJ47" s="543">
        <f t="shared" si="93"/>
        <v>8.474676286318833E-2</v>
      </c>
      <c r="BK47" s="543">
        <f t="shared" si="94"/>
        <v>1.7499999999999998E-2</v>
      </c>
      <c r="BL47" s="543">
        <f t="shared" si="95"/>
        <v>5.2216171874999995E-2</v>
      </c>
      <c r="BM47">
        <f t="shared" si="96"/>
        <v>3.9150000000000001E-3</v>
      </c>
      <c r="BN47" s="470">
        <f t="shared" si="52"/>
        <v>202.63954955646338</v>
      </c>
      <c r="BO47" s="543">
        <f t="shared" si="97"/>
        <v>0.13440000000000002</v>
      </c>
      <c r="BP47" s="543"/>
      <c r="BR47" s="470">
        <f t="shared" si="54"/>
        <v>134.4</v>
      </c>
      <c r="BS47" s="543">
        <f t="shared" si="98"/>
        <v>1.6095132661190927E-2</v>
      </c>
      <c r="BT47" s="543">
        <f t="shared" si="99"/>
        <v>3.1062762075651187E-2</v>
      </c>
      <c r="BU47" s="543">
        <f t="shared" si="100"/>
        <v>0</v>
      </c>
      <c r="BV47" s="543">
        <f t="shared" si="101"/>
        <v>4.6421052631578967E-2</v>
      </c>
      <c r="BW47" s="470">
        <f t="shared" si="55"/>
        <v>93.578947368421083</v>
      </c>
      <c r="BX47" s="178">
        <f t="shared" si="56"/>
        <v>0.43061849692488452</v>
      </c>
      <c r="BY47" s="6">
        <f t="shared" si="57"/>
        <v>4.032</v>
      </c>
      <c r="BZ47" s="178">
        <f t="shared" si="58"/>
        <v>0.90350542014254276</v>
      </c>
      <c r="CA47" s="6">
        <f t="shared" si="59"/>
        <v>90.350542014254273</v>
      </c>
      <c r="CD47" s="577">
        <f t="shared" si="102"/>
        <v>-50</v>
      </c>
      <c r="CE47">
        <f t="shared" si="103"/>
        <v>-50</v>
      </c>
    </row>
    <row r="48" spans="5:83" x14ac:dyDescent="0.2">
      <c r="E48" s="175">
        <v>43</v>
      </c>
      <c r="F48" s="222">
        <f t="shared" si="104"/>
        <v>0.34400000000000003</v>
      </c>
      <c r="G48" s="222"/>
      <c r="H48" s="222">
        <f t="shared" si="60"/>
        <v>4.1280000000000001</v>
      </c>
      <c r="I48" s="556">
        <f t="shared" si="61"/>
        <v>13.5</v>
      </c>
      <c r="J48" s="177">
        <f t="shared" si="62"/>
        <v>12.25</v>
      </c>
      <c r="K48" s="452">
        <f t="shared" si="63"/>
        <v>25.75</v>
      </c>
      <c r="L48" s="452"/>
      <c r="M48" s="222">
        <f t="shared" si="64"/>
        <v>0.47572815533980584</v>
      </c>
      <c r="N48" s="177">
        <f t="shared" si="5"/>
        <v>12.507487864077669</v>
      </c>
      <c r="O48" s="177">
        <f t="shared" si="45"/>
        <v>4.1280000000000001</v>
      </c>
      <c r="P48" s="222">
        <f t="shared" si="65"/>
        <v>1.0422906553398057</v>
      </c>
      <c r="Q48" s="222">
        <f t="shared" si="66"/>
        <v>12</v>
      </c>
      <c r="R48" s="222">
        <f t="shared" si="67"/>
        <v>1.0971480582524269</v>
      </c>
      <c r="S48" s="177">
        <f t="shared" si="68"/>
        <v>62.981427682167734</v>
      </c>
      <c r="T48" s="177">
        <f t="shared" si="69"/>
        <v>12</v>
      </c>
      <c r="U48" s="222">
        <f t="shared" si="70"/>
        <v>1.3531734097147632</v>
      </c>
      <c r="V48" s="222">
        <f t="shared" si="71"/>
        <v>0.70164547170395142</v>
      </c>
      <c r="W48" s="222">
        <f t="shared" si="72"/>
        <v>0.77324194840843619</v>
      </c>
      <c r="X48" s="202">
        <f t="shared" si="73"/>
        <v>350</v>
      </c>
      <c r="Y48" s="452">
        <f t="shared" si="46"/>
        <v>350</v>
      </c>
      <c r="AA48" s="222">
        <f t="shared" si="74"/>
        <v>2.6213592233009715</v>
      </c>
      <c r="AB48" s="178">
        <f t="shared" si="75"/>
        <v>1.4979195561719838</v>
      </c>
      <c r="AC48" s="178">
        <f t="shared" si="76"/>
        <v>0.68715241775850722</v>
      </c>
      <c r="AD48" s="178"/>
      <c r="AE48" s="178">
        <f t="shared" si="77"/>
        <v>0.46857142857142853</v>
      </c>
      <c r="AF48" s="560">
        <f>MAX(12, F48/(0.5*AE48/1000000*Isw_min*Nps)/1000)</f>
        <v>1790.6008328375972</v>
      </c>
      <c r="AG48" s="543">
        <f t="shared" si="78"/>
        <v>6.723999999999998E-2</v>
      </c>
      <c r="AI48" s="178">
        <f t="shared" si="79"/>
        <v>1.9029063643750177</v>
      </c>
      <c r="AJ48" s="178">
        <f t="shared" si="80"/>
        <v>1.9029063643750177</v>
      </c>
      <c r="AK48" s="178">
        <f t="shared" si="81"/>
        <v>2.0021528625000129</v>
      </c>
      <c r="AM48" s="560">
        <f t="shared" si="82"/>
        <v>344</v>
      </c>
      <c r="AN48" s="470">
        <f t="shared" si="83"/>
        <v>350</v>
      </c>
      <c r="AP48">
        <f t="shared" si="84"/>
        <v>344</v>
      </c>
      <c r="AQ48" s="470">
        <f t="shared" si="85"/>
        <v>350</v>
      </c>
      <c r="AR48" s="470"/>
      <c r="AS48" s="6">
        <f t="shared" si="47"/>
        <v>2.8571428571428572</v>
      </c>
      <c r="AT48" s="6">
        <f t="shared" si="86"/>
        <v>0.98669218893519428</v>
      </c>
      <c r="AU48" s="6">
        <f t="shared" si="48"/>
        <v>1.8704506682076629</v>
      </c>
      <c r="AV48" s="6">
        <f t="shared" si="87"/>
        <v>1.087375065357153</v>
      </c>
      <c r="AW48" s="178">
        <f t="shared" si="49"/>
        <v>0.345342266127318</v>
      </c>
      <c r="AX48" s="178">
        <f t="shared" si="88"/>
        <v>4.4357894736842107</v>
      </c>
      <c r="AY48" s="178">
        <f t="shared" si="89"/>
        <v>0.62287618413682655</v>
      </c>
      <c r="AZ48" s="178">
        <f t="shared" si="50"/>
        <v>7.1214626384074524</v>
      </c>
      <c r="BA48" s="470">
        <f>L*Isw_max^2/(2*Vout_ripple*Vout)*1000000000*((1+M48)/2)^2</f>
        <v>22.244671714791423</v>
      </c>
      <c r="BB48" s="470">
        <f>L*F48^2/(2*Cout*Vout*Nps^2)*1000000000*((1+M48)/(1-M48))^2+F48*RCoutEsr</f>
        <v>6.8504255513722301</v>
      </c>
      <c r="BC48" s="6">
        <f t="shared" si="90"/>
        <v>0.89191773686939368</v>
      </c>
      <c r="BD48" s="470">
        <f>((BY48/I48/Efficiency)*AU48/Cin+(BY48/I48/Efficiency)*RCinEsr)*1000</f>
        <v>61.170061273771786</v>
      </c>
      <c r="BE48" s="6"/>
      <c r="BF48" s="178">
        <f t="shared" si="51"/>
        <v>0.64562696183780977</v>
      </c>
      <c r="BG48" s="178">
        <f t="shared" si="91"/>
        <v>0.8889225894349454</v>
      </c>
      <c r="BH48" s="178"/>
      <c r="BI48" s="543">
        <f t="shared" si="92"/>
        <v>4.5851759123711276E-2</v>
      </c>
      <c r="BJ48" s="543">
        <f t="shared" si="93"/>
        <v>8.5749718044649231E-2</v>
      </c>
      <c r="BK48" s="543">
        <f t="shared" si="94"/>
        <v>1.7499999999999998E-2</v>
      </c>
      <c r="BL48" s="543">
        <f t="shared" si="95"/>
        <v>5.2216171874999995E-2</v>
      </c>
      <c r="BM48">
        <f t="shared" si="96"/>
        <v>3.9150000000000001E-3</v>
      </c>
      <c r="BN48" s="470">
        <f t="shared" si="52"/>
        <v>205.23264904336051</v>
      </c>
      <c r="BO48" s="543">
        <f t="shared" si="97"/>
        <v>0.13760000000000003</v>
      </c>
      <c r="BP48" s="543"/>
      <c r="BR48" s="470">
        <f t="shared" si="54"/>
        <v>137.60000000000002</v>
      </c>
      <c r="BS48" s="543">
        <f t="shared" si="98"/>
        <v>1.6673366954076826E-2</v>
      </c>
      <c r="BT48" s="543">
        <f t="shared" si="99"/>
        <v>3.1607334800309139E-2</v>
      </c>
      <c r="BU48" s="543">
        <f t="shared" si="100"/>
        <v>0</v>
      </c>
      <c r="BV48" s="543">
        <f t="shared" si="101"/>
        <v>4.7526315789473694E-2</v>
      </c>
      <c r="BW48" s="470">
        <f t="shared" si="55"/>
        <v>95.807017543859658</v>
      </c>
      <c r="BX48" s="178">
        <f t="shared" si="56"/>
        <v>0.4386396665872202</v>
      </c>
      <c r="BY48" s="6">
        <f t="shared" si="57"/>
        <v>4.1280000000000001</v>
      </c>
      <c r="BZ48" s="178">
        <f t="shared" si="58"/>
        <v>0.90394695035900907</v>
      </c>
      <c r="CA48" s="6">
        <f t="shared" si="59"/>
        <v>90.394695035900909</v>
      </c>
      <c r="CD48" s="577">
        <f t="shared" si="102"/>
        <v>-50</v>
      </c>
      <c r="CE48">
        <f t="shared" si="103"/>
        <v>-50</v>
      </c>
    </row>
    <row r="49" spans="5:83" x14ac:dyDescent="0.2">
      <c r="E49" s="175">
        <v>44</v>
      </c>
      <c r="F49" s="222">
        <f t="shared" si="104"/>
        <v>0.35200000000000004</v>
      </c>
      <c r="G49" s="222"/>
      <c r="H49" s="222">
        <f t="shared" si="60"/>
        <v>4.2240000000000002</v>
      </c>
      <c r="I49" s="556">
        <f t="shared" si="61"/>
        <v>13.5</v>
      </c>
      <c r="J49" s="177">
        <f t="shared" si="62"/>
        <v>12.25</v>
      </c>
      <c r="K49" s="452">
        <f t="shared" si="63"/>
        <v>25.75</v>
      </c>
      <c r="L49" s="452"/>
      <c r="M49" s="222">
        <f t="shared" si="64"/>
        <v>0.47572815533980584</v>
      </c>
      <c r="N49" s="177">
        <f t="shared" si="5"/>
        <v>12.507487864077669</v>
      </c>
      <c r="O49" s="177">
        <f t="shared" si="45"/>
        <v>4.2240000000000002</v>
      </c>
      <c r="P49" s="222">
        <f t="shared" si="65"/>
        <v>1.0422906553398057</v>
      </c>
      <c r="Q49" s="222">
        <f t="shared" si="66"/>
        <v>12</v>
      </c>
      <c r="R49" s="222">
        <f t="shared" si="67"/>
        <v>1.0971480582524269</v>
      </c>
      <c r="S49" s="177">
        <f t="shared" si="68"/>
        <v>61.245932814639367</v>
      </c>
      <c r="T49" s="177">
        <f t="shared" si="69"/>
        <v>12</v>
      </c>
      <c r="U49" s="222">
        <f t="shared" si="70"/>
        <v>1.3846425587778972</v>
      </c>
      <c r="V49" s="222">
        <f t="shared" si="71"/>
        <v>0.71796280825520598</v>
      </c>
      <c r="W49" s="222">
        <f t="shared" si="72"/>
        <v>0.7912243193016556</v>
      </c>
      <c r="X49" s="202">
        <f t="shared" si="73"/>
        <v>350</v>
      </c>
      <c r="Y49" s="452">
        <f t="shared" si="46"/>
        <v>350</v>
      </c>
      <c r="AA49" s="222">
        <f t="shared" si="74"/>
        <v>2.6213592233009715</v>
      </c>
      <c r="AB49" s="178">
        <f t="shared" si="75"/>
        <v>1.4979195561719838</v>
      </c>
      <c r="AC49" s="178">
        <f t="shared" si="76"/>
        <v>0.68715241775850722</v>
      </c>
      <c r="AD49" s="178"/>
      <c r="AE49" s="178">
        <f t="shared" si="77"/>
        <v>0.46857142857142853</v>
      </c>
      <c r="AF49" s="560">
        <f>MAX(12, F49/(0.5*AE49/1000000*Isw_min*Nps)/1000)</f>
        <v>1832.2427126710297</v>
      </c>
      <c r="AG49" s="543">
        <f t="shared" si="78"/>
        <v>6.723999999999998E-2</v>
      </c>
      <c r="AI49" s="178">
        <f t="shared" si="79"/>
        <v>1.9249060127431514</v>
      </c>
      <c r="AJ49" s="178">
        <f t="shared" si="80"/>
        <v>1.9249060127431514</v>
      </c>
      <c r="AK49" s="178">
        <f t="shared" si="81"/>
        <v>2.0184488983282605</v>
      </c>
      <c r="AM49" s="560">
        <f t="shared" si="82"/>
        <v>352.00000000000006</v>
      </c>
      <c r="AN49" s="470">
        <f t="shared" si="83"/>
        <v>350</v>
      </c>
      <c r="AP49">
        <f t="shared" si="84"/>
        <v>352.00000000000006</v>
      </c>
      <c r="AQ49" s="470">
        <f t="shared" si="85"/>
        <v>350</v>
      </c>
      <c r="AR49" s="470"/>
      <c r="AS49" s="6">
        <f t="shared" si="47"/>
        <v>2.8571428571428572</v>
      </c>
      <c r="AT49" s="6">
        <f t="shared" si="86"/>
        <v>0.99809941401496749</v>
      </c>
      <c r="AU49" s="6">
        <f t="shared" si="48"/>
        <v>1.8590434431278897</v>
      </c>
      <c r="AV49" s="6">
        <f t="shared" si="87"/>
        <v>1.0999462929960864</v>
      </c>
      <c r="AW49" s="178">
        <f t="shared" si="49"/>
        <v>0.34933479490523861</v>
      </c>
      <c r="AX49" s="178">
        <f t="shared" si="88"/>
        <v>4.5389473684210531</v>
      </c>
      <c r="AY49" s="178">
        <f t="shared" si="89"/>
        <v>0.62623468278483108</v>
      </c>
      <c r="AZ49" s="178">
        <f t="shared" si="50"/>
        <v>7.2479974252409729</v>
      </c>
      <c r="BA49" s="470">
        <f>L*Isw_max^2/(2*Vout_ripple*Vout)*1000000000*((1+M49)/2)^2</f>
        <v>22.244671714791423</v>
      </c>
      <c r="BB49" s="470">
        <f>L*F49^2/(2*Cout*Vout*Nps^2)*1000000000*((1+M49)/(1-M49))^2+F49*RCoutEsr</f>
        <v>7.1481967914854723</v>
      </c>
      <c r="BC49" s="6">
        <f t="shared" si="90"/>
        <v>0.90709401530831946</v>
      </c>
      <c r="BD49" s="470">
        <f>((BY49/I49/Efficiency)*AU49/Cin+(BY49/I49/Efficiency)*RCinEsr)*1000</f>
        <v>62.216916208750156</v>
      </c>
      <c r="BE49" s="6"/>
      <c r="BF49" s="178">
        <f t="shared" si="51"/>
        <v>0.65685547505599096</v>
      </c>
      <c r="BG49" s="178">
        <f t="shared" si="91"/>
        <v>0.89645334746835226</v>
      </c>
      <c r="BH49" s="178"/>
      <c r="BI49" s="543">
        <f t="shared" si="92"/>
        <v>4.7460502662213473E-2</v>
      </c>
      <c r="BJ49" s="543">
        <f t="shared" si="93"/>
        <v>8.6741077199238265E-2</v>
      </c>
      <c r="BK49" s="543">
        <f t="shared" si="94"/>
        <v>1.7499999999999998E-2</v>
      </c>
      <c r="BL49" s="543">
        <f t="shared" si="95"/>
        <v>5.2216171874999995E-2</v>
      </c>
      <c r="BM49">
        <f t="shared" si="96"/>
        <v>3.9150000000000001E-3</v>
      </c>
      <c r="BN49" s="470">
        <f t="shared" si="52"/>
        <v>207.83275173645171</v>
      </c>
      <c r="BO49" s="543">
        <f t="shared" si="97"/>
        <v>0.14080000000000001</v>
      </c>
      <c r="BP49" s="543"/>
      <c r="BR49" s="470">
        <f t="shared" si="54"/>
        <v>140.80000000000001</v>
      </c>
      <c r="BS49" s="543">
        <f t="shared" si="98"/>
        <v>1.7258364604441263E-2</v>
      </c>
      <c r="BT49" s="543">
        <f t="shared" si="99"/>
        <v>3.2145144167488572E-2</v>
      </c>
      <c r="BU49" s="543">
        <f t="shared" si="100"/>
        <v>0</v>
      </c>
      <c r="BV49" s="543">
        <f t="shared" si="101"/>
        <v>4.8631578947368428E-2</v>
      </c>
      <c r="BW49" s="470">
        <f t="shared" si="55"/>
        <v>98.035087719298261</v>
      </c>
      <c r="BX49" s="178">
        <f t="shared" si="56"/>
        <v>0.44666783945574995</v>
      </c>
      <c r="BY49" s="6">
        <f t="shared" si="57"/>
        <v>4.2240000000000002</v>
      </c>
      <c r="BZ49" s="178">
        <f t="shared" si="58"/>
        <v>0.90436745775786143</v>
      </c>
      <c r="CA49" s="6">
        <f t="shared" si="59"/>
        <v>90.436745775786136</v>
      </c>
      <c r="CD49" s="577">
        <f t="shared" si="102"/>
        <v>-50</v>
      </c>
      <c r="CE49">
        <f t="shared" si="103"/>
        <v>-50</v>
      </c>
    </row>
    <row r="50" spans="5:83" x14ac:dyDescent="0.2">
      <c r="E50" s="175">
        <v>45</v>
      </c>
      <c r="F50" s="222">
        <f t="shared" si="104"/>
        <v>0.36000000000000004</v>
      </c>
      <c r="G50" s="222"/>
      <c r="H50" s="222">
        <f t="shared" si="60"/>
        <v>4.32</v>
      </c>
      <c r="I50" s="556">
        <f t="shared" si="61"/>
        <v>13.5</v>
      </c>
      <c r="J50" s="177">
        <f t="shared" si="62"/>
        <v>12.25</v>
      </c>
      <c r="K50" s="452">
        <f t="shared" si="63"/>
        <v>25.75</v>
      </c>
      <c r="L50" s="452"/>
      <c r="M50" s="222">
        <f t="shared" si="64"/>
        <v>0.47572815533980584</v>
      </c>
      <c r="N50" s="177">
        <f t="shared" si="5"/>
        <v>12.507487864077669</v>
      </c>
      <c r="O50" s="177">
        <f t="shared" si="45"/>
        <v>4.32</v>
      </c>
      <c r="P50" s="222">
        <f t="shared" si="65"/>
        <v>1.0422906553398057</v>
      </c>
      <c r="Q50" s="222">
        <f t="shared" si="66"/>
        <v>12</v>
      </c>
      <c r="R50" s="222">
        <f t="shared" si="67"/>
        <v>1.0971480582524269</v>
      </c>
      <c r="S50" s="177">
        <f t="shared" si="68"/>
        <v>59.587652613615077</v>
      </c>
      <c r="T50" s="177">
        <f t="shared" si="69"/>
        <v>12</v>
      </c>
      <c r="U50" s="222">
        <f t="shared" si="70"/>
        <v>1.4161117078410312</v>
      </c>
      <c r="V50" s="222">
        <f t="shared" si="71"/>
        <v>0.73428014480646064</v>
      </c>
      <c r="W50" s="222">
        <f t="shared" si="72"/>
        <v>0.80920669019487501</v>
      </c>
      <c r="X50" s="202">
        <f t="shared" si="73"/>
        <v>350</v>
      </c>
      <c r="Y50" s="452">
        <f t="shared" si="46"/>
        <v>350</v>
      </c>
      <c r="AA50" s="222">
        <f t="shared" si="74"/>
        <v>2.6213592233009715</v>
      </c>
      <c r="AB50" s="178">
        <f t="shared" si="75"/>
        <v>1.4979195561719838</v>
      </c>
      <c r="AC50" s="178">
        <f t="shared" si="76"/>
        <v>0.68715241775850722</v>
      </c>
      <c r="AD50" s="178"/>
      <c r="AE50" s="178">
        <f t="shared" si="77"/>
        <v>0.46857142857142853</v>
      </c>
      <c r="AF50" s="560">
        <f>MAX(12, F50/(0.5*AE50/1000000*Isw_min*Nps)/1000)</f>
        <v>1873.8845925044623</v>
      </c>
      <c r="AG50" s="543">
        <f t="shared" si="78"/>
        <v>6.723999999999998E-2</v>
      </c>
      <c r="AI50" s="178">
        <f t="shared" si="79"/>
        <v>1.9466570535691508</v>
      </c>
      <c r="AJ50" s="178">
        <f t="shared" si="80"/>
        <v>1.9466570535691508</v>
      </c>
      <c r="AK50" s="178">
        <f t="shared" si="81"/>
        <v>2.0345607804215931</v>
      </c>
      <c r="AM50" s="560">
        <f t="shared" si="82"/>
        <v>360.00000000000006</v>
      </c>
      <c r="AN50" s="470">
        <f t="shared" si="83"/>
        <v>350</v>
      </c>
      <c r="AP50">
        <f t="shared" si="84"/>
        <v>360.00000000000006</v>
      </c>
      <c r="AQ50" s="470">
        <f t="shared" si="85"/>
        <v>350</v>
      </c>
      <c r="AR50" s="470"/>
      <c r="AS50" s="6">
        <f t="shared" si="47"/>
        <v>2.8571428571428572</v>
      </c>
      <c r="AT50" s="6">
        <f t="shared" si="86"/>
        <v>1.0093777314803003</v>
      </c>
      <c r="AU50" s="6">
        <f t="shared" si="48"/>
        <v>1.8477651256625569</v>
      </c>
      <c r="AV50" s="6">
        <f t="shared" si="87"/>
        <v>1.1123754591823718</v>
      </c>
      <c r="AW50" s="178">
        <f t="shared" si="49"/>
        <v>0.35328220601810512</v>
      </c>
      <c r="AX50" s="178">
        <f t="shared" si="88"/>
        <v>4.6421052631578963</v>
      </c>
      <c r="AY50" s="178">
        <f t="shared" si="89"/>
        <v>0.62946887766176829</v>
      </c>
      <c r="AZ50" s="178">
        <f t="shared" si="50"/>
        <v>7.374638251221425</v>
      </c>
      <c r="BA50" s="470">
        <f>L*Isw_max^2/(2*Vout_ripple*Vout)*1000000000*((1+M50)/2)^2</f>
        <v>22.244671714791423</v>
      </c>
      <c r="BB50" s="470">
        <f>L*F50^2/(2*Cout*Vout*Nps^2)*1000000000*((1+M50)/(1-M50))^2+F50*RCoutEsr</f>
        <v>7.4522616233254553</v>
      </c>
      <c r="BC50" s="6">
        <f t="shared" si="90"/>
        <v>0.9220816221629915</v>
      </c>
      <c r="BD50" s="470">
        <f>((BY50/I50/Efficiency)*AU50/Cin+(BY50/I50/Efficiency)*RCinEsr)*1000</f>
        <v>63.251035811791397</v>
      </c>
      <c r="BE50" s="6"/>
      <c r="BF50" s="178">
        <f t="shared" si="51"/>
        <v>0.66802036466100123</v>
      </c>
      <c r="BG50" s="178">
        <f t="shared" si="91"/>
        <v>0.90382890368422353</v>
      </c>
      <c r="BH50" s="178"/>
      <c r="BI50" s="543">
        <f t="shared" si="92"/>
        <v>4.9087632836199879E-2</v>
      </c>
      <c r="BJ50" s="543">
        <f t="shared" si="93"/>
        <v>8.7721233476459853E-2</v>
      </c>
      <c r="BK50" s="543">
        <f t="shared" si="94"/>
        <v>1.7499999999999998E-2</v>
      </c>
      <c r="BL50" s="543">
        <f t="shared" si="95"/>
        <v>5.2216171874999995E-2</v>
      </c>
      <c r="BM50">
        <f t="shared" si="96"/>
        <v>3.9150000000000001E-3</v>
      </c>
      <c r="BN50" s="470">
        <f t="shared" si="52"/>
        <v>210.44003818765972</v>
      </c>
      <c r="BO50" s="543">
        <f t="shared" si="97"/>
        <v>0.14400000000000002</v>
      </c>
      <c r="BP50" s="543"/>
      <c r="BR50" s="470">
        <f t="shared" si="54"/>
        <v>144.00000000000003</v>
      </c>
      <c r="BS50" s="543">
        <f t="shared" si="98"/>
        <v>1.7850048304072684E-2</v>
      </c>
      <c r="BT50" s="543">
        <f t="shared" si="99"/>
        <v>3.267626748540102E-2</v>
      </c>
      <c r="BU50" s="543">
        <f t="shared" si="100"/>
        <v>0</v>
      </c>
      <c r="BV50" s="543">
        <f t="shared" si="101"/>
        <v>4.9736842105263177E-2</v>
      </c>
      <c r="BW50" s="470">
        <f t="shared" si="55"/>
        <v>100.26315789473689</v>
      </c>
      <c r="BX50" s="178">
        <f t="shared" si="56"/>
        <v>0.45470319608239662</v>
      </c>
      <c r="BY50" s="6">
        <f t="shared" si="57"/>
        <v>4.32</v>
      </c>
      <c r="BZ50" s="178">
        <f t="shared" si="58"/>
        <v>0.90476828037070933</v>
      </c>
      <c r="CA50" s="6">
        <f t="shared" si="59"/>
        <v>90.476828037070931</v>
      </c>
      <c r="CD50" s="577">
        <f t="shared" si="102"/>
        <v>-50</v>
      </c>
      <c r="CE50">
        <f t="shared" si="103"/>
        <v>-50</v>
      </c>
    </row>
    <row r="51" spans="5:83" x14ac:dyDescent="0.2">
      <c r="E51" s="175">
        <v>46</v>
      </c>
      <c r="F51" s="222">
        <f t="shared" si="104"/>
        <v>0.36800000000000005</v>
      </c>
      <c r="G51" s="222"/>
      <c r="H51" s="222">
        <f t="shared" si="60"/>
        <v>4.4160000000000004</v>
      </c>
      <c r="I51" s="556">
        <f t="shared" si="61"/>
        <v>13.5</v>
      </c>
      <c r="J51" s="177">
        <f t="shared" si="62"/>
        <v>12.25</v>
      </c>
      <c r="K51" s="452">
        <f t="shared" si="63"/>
        <v>25.75</v>
      </c>
      <c r="L51" s="452"/>
      <c r="M51" s="222">
        <f t="shared" si="64"/>
        <v>0.47572815533980584</v>
      </c>
      <c r="N51" s="177">
        <f t="shared" si="5"/>
        <v>12.507487864077669</v>
      </c>
      <c r="O51" s="177">
        <f t="shared" si="45"/>
        <v>4.4160000000000004</v>
      </c>
      <c r="P51" s="222">
        <f t="shared" si="65"/>
        <v>1.0422906553398057</v>
      </c>
      <c r="Q51" s="222">
        <f t="shared" si="66"/>
        <v>12</v>
      </c>
      <c r="R51" s="222">
        <f t="shared" si="67"/>
        <v>1.0971480582524269</v>
      </c>
      <c r="S51" s="177">
        <f t="shared" si="68"/>
        <v>58.001552500403129</v>
      </c>
      <c r="T51" s="177">
        <f t="shared" si="69"/>
        <v>12</v>
      </c>
      <c r="U51" s="222">
        <f t="shared" si="70"/>
        <v>1.4475808569041653</v>
      </c>
      <c r="V51" s="222">
        <f t="shared" si="71"/>
        <v>0.75059748135771531</v>
      </c>
      <c r="W51" s="222">
        <f t="shared" si="72"/>
        <v>0.82718906108809442</v>
      </c>
      <c r="X51" s="202">
        <f t="shared" si="73"/>
        <v>350</v>
      </c>
      <c r="Y51" s="452">
        <f t="shared" si="46"/>
        <v>350</v>
      </c>
      <c r="AA51" s="222">
        <f t="shared" si="74"/>
        <v>2.6213592233009715</v>
      </c>
      <c r="AB51" s="178">
        <f t="shared" si="75"/>
        <v>1.4979195561719838</v>
      </c>
      <c r="AC51" s="178">
        <f t="shared" si="76"/>
        <v>0.68715241775850722</v>
      </c>
      <c r="AD51" s="178"/>
      <c r="AE51" s="178">
        <f t="shared" si="77"/>
        <v>0.46857142857142853</v>
      </c>
      <c r="AF51" s="560">
        <f>MAX(12, F51/(0.5*AE51/1000000*Isw_min*Nps)/1000)</f>
        <v>1915.5264723378948</v>
      </c>
      <c r="AG51" s="543">
        <f t="shared" si="78"/>
        <v>6.723999999999998E-2</v>
      </c>
      <c r="AI51" s="178">
        <f t="shared" si="79"/>
        <v>1.9681677292665676</v>
      </c>
      <c r="AJ51" s="178">
        <f t="shared" si="80"/>
        <v>1.9681677292665676</v>
      </c>
      <c r="AK51" s="178">
        <f t="shared" si="81"/>
        <v>2.0504946142715315</v>
      </c>
      <c r="AM51" s="560">
        <f t="shared" si="82"/>
        <v>368.00000000000006</v>
      </c>
      <c r="AN51" s="470">
        <f t="shared" si="83"/>
        <v>350</v>
      </c>
      <c r="AP51">
        <f t="shared" si="84"/>
        <v>368.00000000000006</v>
      </c>
      <c r="AQ51" s="470">
        <f t="shared" si="85"/>
        <v>350</v>
      </c>
      <c r="AR51" s="470"/>
      <c r="AS51" s="6">
        <f t="shared" si="47"/>
        <v>2.8571428571428572</v>
      </c>
      <c r="AT51" s="6">
        <f t="shared" si="86"/>
        <v>1.0205314151752571</v>
      </c>
      <c r="AU51" s="6">
        <f t="shared" si="48"/>
        <v>1.8366114419676001</v>
      </c>
      <c r="AV51" s="6">
        <f t="shared" si="87"/>
        <v>1.1246672738666101</v>
      </c>
      <c r="AW51" s="178">
        <f t="shared" si="49"/>
        <v>0.35718599531133999</v>
      </c>
      <c r="AX51" s="178">
        <f t="shared" si="88"/>
        <v>4.7452631578947386</v>
      </c>
      <c r="AY51" s="178">
        <f t="shared" si="89"/>
        <v>0.63258288997441436</v>
      </c>
      <c r="AZ51" s="178">
        <f t="shared" si="50"/>
        <v>7.5014092747381564</v>
      </c>
      <c r="BA51" s="470">
        <f>L*Isw_max^2/(2*Vout_ripple*Vout)*1000000000*((1+M51)/2)^2</f>
        <v>22.244671714791423</v>
      </c>
      <c r="BB51" s="470">
        <f>L*F51^2/(2*Cout*Vout*Nps^2)*1000000000*((1+M51)/(1-M51))^2+F51*RCoutEsr</f>
        <v>7.7626200468921791</v>
      </c>
      <c r="BC51" s="6">
        <f t="shared" si="90"/>
        <v>0.93688266582674729</v>
      </c>
      <c r="BD51" s="470">
        <f>((BY51/I51/Efficiency)*AU51/Cin+(BY51/I51/Efficiency)*RCinEsr)*1000</f>
        <v>64.272562399445789</v>
      </c>
      <c r="BE51" s="6"/>
      <c r="BF51" s="178">
        <f t="shared" si="51"/>
        <v>0.67912339336791738</v>
      </c>
      <c r="BG51" s="178">
        <f t="shared" si="91"/>
        <v>0.91105405259835381</v>
      </c>
      <c r="BH51" s="178"/>
      <c r="BI51" s="543">
        <f t="shared" si="92"/>
        <v>5.0732944176151054E-2</v>
      </c>
      <c r="BJ51" s="543">
        <f t="shared" si="93"/>
        <v>8.869055830007469E-2</v>
      </c>
      <c r="BK51" s="543">
        <f t="shared" si="94"/>
        <v>1.7499999999999998E-2</v>
      </c>
      <c r="BL51" s="543">
        <f t="shared" si="95"/>
        <v>5.2216171874999995E-2</v>
      </c>
      <c r="BM51">
        <f t="shared" si="96"/>
        <v>3.9150000000000001E-3</v>
      </c>
      <c r="BN51" s="470">
        <f t="shared" si="52"/>
        <v>213.05467435122574</v>
      </c>
      <c r="BO51" s="543">
        <f t="shared" si="97"/>
        <v>0.14720000000000003</v>
      </c>
      <c r="BP51" s="543"/>
      <c r="BR51" s="470">
        <f t="shared" si="54"/>
        <v>147.20000000000002</v>
      </c>
      <c r="BS51" s="543">
        <f t="shared" si="98"/>
        <v>1.8448343336782202E-2</v>
      </c>
      <c r="BT51" s="543">
        <f t="shared" si="99"/>
        <v>3.3200779470235357E-2</v>
      </c>
      <c r="BU51" s="543">
        <f t="shared" si="100"/>
        <v>0</v>
      </c>
      <c r="BV51" s="543">
        <f t="shared" si="101"/>
        <v>5.0842105263157918E-2</v>
      </c>
      <c r="BW51" s="470">
        <f t="shared" si="55"/>
        <v>102.49122807017547</v>
      </c>
      <c r="BX51" s="178">
        <f t="shared" si="56"/>
        <v>0.46274590242140123</v>
      </c>
      <c r="BY51" s="6">
        <f t="shared" si="57"/>
        <v>4.4160000000000004</v>
      </c>
      <c r="BZ51" s="178">
        <f t="shared" si="58"/>
        <v>0.90515064492460384</v>
      </c>
      <c r="CA51" s="6">
        <f t="shared" si="59"/>
        <v>90.515064492460382</v>
      </c>
      <c r="CD51" s="577">
        <f t="shared" si="102"/>
        <v>-50</v>
      </c>
      <c r="CE51">
        <f t="shared" si="103"/>
        <v>-50</v>
      </c>
    </row>
    <row r="52" spans="5:83" x14ac:dyDescent="0.2">
      <c r="E52" s="175">
        <v>47</v>
      </c>
      <c r="F52" s="222">
        <f t="shared" si="104"/>
        <v>0.376</v>
      </c>
      <c r="G52" s="222"/>
      <c r="H52" s="222">
        <f t="shared" si="60"/>
        <v>4.5120000000000005</v>
      </c>
      <c r="I52" s="556">
        <f t="shared" si="61"/>
        <v>13.5</v>
      </c>
      <c r="J52" s="177">
        <f t="shared" si="62"/>
        <v>12.25</v>
      </c>
      <c r="K52" s="452">
        <f t="shared" si="63"/>
        <v>25.75</v>
      </c>
      <c r="L52" s="452"/>
      <c r="M52" s="222">
        <f t="shared" si="64"/>
        <v>0.47572815533980584</v>
      </c>
      <c r="N52" s="177">
        <f t="shared" si="5"/>
        <v>12.507487864077669</v>
      </c>
      <c r="O52" s="177">
        <f t="shared" si="45"/>
        <v>4.5120000000000005</v>
      </c>
      <c r="P52" s="222">
        <f t="shared" si="65"/>
        <v>1.0422906553398057</v>
      </c>
      <c r="Q52" s="222">
        <f t="shared" si="66"/>
        <v>12</v>
      </c>
      <c r="R52" s="222">
        <f t="shared" si="67"/>
        <v>1.0971480582524269</v>
      </c>
      <c r="S52" s="177">
        <f t="shared" si="68"/>
        <v>56.48302639255575</v>
      </c>
      <c r="T52" s="177">
        <f t="shared" si="69"/>
        <v>12</v>
      </c>
      <c r="U52" s="222">
        <f t="shared" si="70"/>
        <v>1.4790500059672993</v>
      </c>
      <c r="V52" s="222">
        <f t="shared" si="71"/>
        <v>0.76691481790896987</v>
      </c>
      <c r="W52" s="222">
        <f t="shared" si="72"/>
        <v>0.84517143198131384</v>
      </c>
      <c r="X52" s="202">
        <f t="shared" si="73"/>
        <v>350</v>
      </c>
      <c r="Y52" s="452">
        <f t="shared" si="46"/>
        <v>350</v>
      </c>
      <c r="AA52" s="222">
        <f t="shared" si="74"/>
        <v>2.6213592233009715</v>
      </c>
      <c r="AB52" s="178">
        <f t="shared" si="75"/>
        <v>1.4979195561719838</v>
      </c>
      <c r="AC52" s="178">
        <f t="shared" si="76"/>
        <v>0.68715241775850722</v>
      </c>
      <c r="AD52" s="178"/>
      <c r="AE52" s="178">
        <f t="shared" si="77"/>
        <v>0.46857142857142853</v>
      </c>
      <c r="AF52" s="560">
        <f>MAX(12, F52/(0.5*AE52/1000000*Isw_min*Nps)/1000)</f>
        <v>1957.1683521713269</v>
      </c>
      <c r="AG52" s="543">
        <f t="shared" si="78"/>
        <v>6.723999999999998E-2</v>
      </c>
      <c r="AI52" s="178">
        <f t="shared" si="79"/>
        <v>1.9894458366193601</v>
      </c>
      <c r="AJ52" s="178">
        <f t="shared" si="80"/>
        <v>1.9894458366193601</v>
      </c>
      <c r="AK52" s="178">
        <f t="shared" si="81"/>
        <v>2.0662561752736002</v>
      </c>
      <c r="AM52" s="560">
        <f t="shared" si="82"/>
        <v>376</v>
      </c>
      <c r="AN52" s="470">
        <f t="shared" si="83"/>
        <v>350</v>
      </c>
      <c r="AP52">
        <f t="shared" si="84"/>
        <v>376</v>
      </c>
      <c r="AQ52" s="470">
        <f t="shared" si="85"/>
        <v>350</v>
      </c>
      <c r="AR52" s="470"/>
      <c r="AS52" s="6">
        <f t="shared" si="47"/>
        <v>2.8571428571428572</v>
      </c>
      <c r="AT52" s="6">
        <f t="shared" si="86"/>
        <v>1.0315645078767053</v>
      </c>
      <c r="AU52" s="6">
        <f t="shared" si="48"/>
        <v>1.8255783492661519</v>
      </c>
      <c r="AV52" s="6">
        <f t="shared" si="87"/>
        <v>1.13682619235392</v>
      </c>
      <c r="AW52" s="178">
        <f t="shared" si="49"/>
        <v>0.36104757775684682</v>
      </c>
      <c r="AX52" s="178">
        <f t="shared" si="88"/>
        <v>4.8484210526315792</v>
      </c>
      <c r="AY52" s="178">
        <f t="shared" si="89"/>
        <v>0.63558061811474831</v>
      </c>
      <c r="AZ52" s="178">
        <f t="shared" si="50"/>
        <v>7.6283337069228265</v>
      </c>
      <c r="BA52" s="470">
        <f>L*Isw_max^2/(2*Vout_ripple*Vout)*1000000000*((1+M52)/2)^2</f>
        <v>22.244671714791423</v>
      </c>
      <c r="BB52" s="470">
        <f>L*F52^2/(2*Cout*Vout*Nps^2)*1000000000*((1+M52)/(1-M52))^2+F52*RCoutEsr</f>
        <v>8.0792720621856446</v>
      </c>
      <c r="BC52" s="6">
        <f t="shared" si="90"/>
        <v>0.95149918554777302</v>
      </c>
      <c r="BD52" s="470">
        <f>((BY52/I52/Efficiency)*AU52/Cin+(BY52/I52/Efficiency)*RCinEsr)*1000</f>
        <v>65.281633620965906</v>
      </c>
      <c r="BE52" s="6"/>
      <c r="BF52" s="178">
        <f t="shared" si="51"/>
        <v>0.69016623788606535</v>
      </c>
      <c r="BG52" s="178">
        <f t="shared" si="91"/>
        <v>0.9181333289322583</v>
      </c>
      <c r="BH52" s="178"/>
      <c r="BI52" s="543">
        <f t="shared" si="92"/>
        <v>5.2396237950958546E-2</v>
      </c>
      <c r="BJ52" s="543">
        <f t="shared" si="93"/>
        <v>8.9649403012659917E-2</v>
      </c>
      <c r="BK52" s="543">
        <f t="shared" si="94"/>
        <v>1.7499999999999998E-2</v>
      </c>
      <c r="BL52" s="543">
        <f t="shared" si="95"/>
        <v>5.2216171874999995E-2</v>
      </c>
      <c r="BM52">
        <f t="shared" si="96"/>
        <v>3.9150000000000001E-3</v>
      </c>
      <c r="BN52" s="470">
        <f t="shared" si="52"/>
        <v>215.67681283861845</v>
      </c>
      <c r="BO52" s="543">
        <f t="shared" si="97"/>
        <v>0.15040000000000001</v>
      </c>
      <c r="BP52" s="543"/>
      <c r="BR52" s="470">
        <f t="shared" si="54"/>
        <v>150.4</v>
      </c>
      <c r="BS52" s="543">
        <f t="shared" si="98"/>
        <v>1.9053177436712199E-2</v>
      </c>
      <c r="BT52" s="543">
        <f t="shared" si="99"/>
        <v>3.3718752387849216E-2</v>
      </c>
      <c r="BU52" s="543">
        <f t="shared" si="100"/>
        <v>0</v>
      </c>
      <c r="BV52" s="543">
        <f t="shared" si="101"/>
        <v>5.1947368421052652E-2</v>
      </c>
      <c r="BW52" s="470">
        <f t="shared" si="55"/>
        <v>104.71929824561407</v>
      </c>
      <c r="BX52" s="178">
        <f t="shared" si="56"/>
        <v>0.47079611108423253</v>
      </c>
      <c r="BY52" s="6">
        <f t="shared" si="57"/>
        <v>4.5120000000000005</v>
      </c>
      <c r="BZ52" s="178">
        <f t="shared" si="58"/>
        <v>0.90551567822794388</v>
      </c>
      <c r="CA52" s="6">
        <f t="shared" si="59"/>
        <v>90.551567822794382</v>
      </c>
      <c r="CD52" s="577">
        <f t="shared" si="102"/>
        <v>-50</v>
      </c>
      <c r="CE52">
        <f t="shared" si="103"/>
        <v>-50</v>
      </c>
    </row>
    <row r="53" spans="5:83" x14ac:dyDescent="0.2">
      <c r="E53" s="175">
        <v>48</v>
      </c>
      <c r="F53" s="222">
        <f t="shared" si="104"/>
        <v>0.38400000000000001</v>
      </c>
      <c r="G53" s="222"/>
      <c r="H53" s="222">
        <f t="shared" si="60"/>
        <v>4.6080000000000005</v>
      </c>
      <c r="I53" s="556">
        <f t="shared" si="61"/>
        <v>13.5</v>
      </c>
      <c r="J53" s="177">
        <f t="shared" si="62"/>
        <v>12.25</v>
      </c>
      <c r="K53" s="452">
        <f t="shared" si="63"/>
        <v>25.75</v>
      </c>
      <c r="L53" s="452"/>
      <c r="M53" s="222">
        <f t="shared" si="64"/>
        <v>0.47572815533980584</v>
      </c>
      <c r="N53" s="177">
        <f t="shared" si="5"/>
        <v>12.507487864077669</v>
      </c>
      <c r="O53" s="177">
        <f t="shared" si="45"/>
        <v>4.6080000000000005</v>
      </c>
      <c r="P53" s="222">
        <f t="shared" si="65"/>
        <v>1.0422906553398057</v>
      </c>
      <c r="Q53" s="222">
        <f t="shared" si="66"/>
        <v>12</v>
      </c>
      <c r="R53" s="222">
        <f t="shared" si="67"/>
        <v>1.0971480582524269</v>
      </c>
      <c r="S53" s="177">
        <f t="shared" si="68"/>
        <v>55.027852069325697</v>
      </c>
      <c r="T53" s="177">
        <f t="shared" si="69"/>
        <v>12</v>
      </c>
      <c r="U53" s="222">
        <f t="shared" si="70"/>
        <v>1.5105191550304333</v>
      </c>
      <c r="V53" s="222">
        <f t="shared" si="71"/>
        <v>0.78323215446022465</v>
      </c>
      <c r="W53" s="222">
        <f t="shared" si="72"/>
        <v>0.86315380287453336</v>
      </c>
      <c r="X53" s="202">
        <f t="shared" si="73"/>
        <v>350</v>
      </c>
      <c r="Y53" s="452">
        <f t="shared" si="46"/>
        <v>350</v>
      </c>
      <c r="AA53" s="222">
        <f t="shared" si="74"/>
        <v>2.6213592233009715</v>
      </c>
      <c r="AB53" s="178">
        <f t="shared" si="75"/>
        <v>1.4979195561719838</v>
      </c>
      <c r="AC53" s="178">
        <f t="shared" si="76"/>
        <v>0.68715241775850722</v>
      </c>
      <c r="AD53" s="178"/>
      <c r="AE53" s="178">
        <f t="shared" si="77"/>
        <v>0.46857142857142853</v>
      </c>
      <c r="AF53" s="560">
        <f>MAX(12, F53/(0.5*AE53/1000000*Isw_min*Nps)/1000)</f>
        <v>1998.8102320047597</v>
      </c>
      <c r="AG53" s="543">
        <f t="shared" si="78"/>
        <v>6.723999999999998E-2</v>
      </c>
      <c r="AI53" s="178">
        <f t="shared" si="79"/>
        <v>2.0104987598001385</v>
      </c>
      <c r="AJ53" s="178">
        <f t="shared" si="80"/>
        <v>2.0104987598001385</v>
      </c>
      <c r="AK53" s="178">
        <f t="shared" si="81"/>
        <v>2.0818509331852879</v>
      </c>
      <c r="AM53" s="560">
        <f t="shared" si="82"/>
        <v>384</v>
      </c>
      <c r="AN53" s="470">
        <f t="shared" si="83"/>
        <v>350</v>
      </c>
      <c r="AP53">
        <f t="shared" si="84"/>
        <v>384</v>
      </c>
      <c r="AQ53" s="470">
        <f t="shared" si="85"/>
        <v>350</v>
      </c>
      <c r="AR53" s="470"/>
      <c r="AS53" s="6">
        <f t="shared" si="47"/>
        <v>2.8571428571428572</v>
      </c>
      <c r="AT53" s="6">
        <f t="shared" si="86"/>
        <v>1.0424808384148867</v>
      </c>
      <c r="AU53" s="6">
        <f t="shared" si="48"/>
        <v>1.8146620187279705</v>
      </c>
      <c r="AV53" s="6">
        <f t="shared" si="87"/>
        <v>1.1488564341715077</v>
      </c>
      <c r="AW53" s="178">
        <f t="shared" si="49"/>
        <v>0.36486829344521032</v>
      </c>
      <c r="AX53" s="178">
        <f t="shared" si="88"/>
        <v>4.9515789473684206</v>
      </c>
      <c r="AY53" s="178">
        <f t="shared" si="89"/>
        <v>0.63846575416907503</v>
      </c>
      <c r="AZ53" s="178">
        <f t="shared" si="50"/>
        <v>7.7554338898138777</v>
      </c>
      <c r="BA53" s="470">
        <f>L*Isw_max^2/(2*Vout_ripple*Vout)*1000000000*((1+M53)/2)^2</f>
        <v>22.244671714791423</v>
      </c>
      <c r="BB53" s="470">
        <f>L*F53^2/(2*Cout*Vout*Nps^2)*1000000000*((1+M53)/(1-M53))^2+F53*RCoutEsr</f>
        <v>8.4022176692058501</v>
      </c>
      <c r="BC53" s="6">
        <f t="shared" si="90"/>
        <v>0.96593315512797506</v>
      </c>
      <c r="BD53" s="470">
        <f>((BY53/I53/Efficiency)*AU53/Cin+(BY53/I53/Efficiency)*RCinEsr)*1000</f>
        <v>66.278382707980441</v>
      </c>
      <c r="BE53" s="6"/>
      <c r="BF53" s="178">
        <f t="shared" si="51"/>
        <v>0.70115049485216885</v>
      </c>
      <c r="BG53" s="178">
        <f t="shared" si="91"/>
        <v>0.92507102679804554</v>
      </c>
      <c r="BH53" s="178"/>
      <c r="BI53" s="543">
        <f t="shared" si="92"/>
        <v>5.4077321807458535E-2</v>
      </c>
      <c r="BJ53" s="543">
        <f t="shared" si="93"/>
        <v>9.059810036349375E-2</v>
      </c>
      <c r="BK53" s="543">
        <f t="shared" si="94"/>
        <v>1.7499999999999998E-2</v>
      </c>
      <c r="BL53" s="543">
        <f t="shared" si="95"/>
        <v>5.2216171874999995E-2</v>
      </c>
      <c r="BM53">
        <f t="shared" si="96"/>
        <v>3.9150000000000001E-3</v>
      </c>
      <c r="BN53" s="470">
        <f t="shared" si="52"/>
        <v>218.30659404595227</v>
      </c>
      <c r="BO53" s="543">
        <f t="shared" si="97"/>
        <v>0.15360000000000001</v>
      </c>
      <c r="BP53" s="543"/>
      <c r="BR53" s="470">
        <f t="shared" si="54"/>
        <v>153.60000000000002</v>
      </c>
      <c r="BS53" s="543">
        <f t="shared" si="98"/>
        <v>1.9664480657257649E-2</v>
      </c>
      <c r="BT53" s="543">
        <f t="shared" si="99"/>
        <v>3.423025618484761E-2</v>
      </c>
      <c r="BU53" s="543">
        <f t="shared" si="100"/>
        <v>0</v>
      </c>
      <c r="BV53" s="543">
        <f t="shared" si="101"/>
        <v>5.3052631578947379E-2</v>
      </c>
      <c r="BW53" s="470">
        <f t="shared" si="55"/>
        <v>106.94736842105264</v>
      </c>
      <c r="BX53" s="178">
        <f t="shared" si="56"/>
        <v>0.47885396246700496</v>
      </c>
      <c r="BY53" s="6">
        <f t="shared" si="57"/>
        <v>4.6080000000000005</v>
      </c>
      <c r="BZ53" s="178">
        <f t="shared" si="58"/>
        <v>0.9058644171819763</v>
      </c>
      <c r="CA53" s="6">
        <f t="shared" si="59"/>
        <v>90.586441718197634</v>
      </c>
      <c r="CD53" s="577">
        <f t="shared" si="102"/>
        <v>-50</v>
      </c>
      <c r="CE53">
        <f t="shared" si="103"/>
        <v>-50</v>
      </c>
    </row>
    <row r="54" spans="5:83" x14ac:dyDescent="0.2">
      <c r="E54" s="175">
        <v>49</v>
      </c>
      <c r="F54" s="222">
        <f t="shared" si="104"/>
        <v>0.39200000000000002</v>
      </c>
      <c r="G54" s="222"/>
      <c r="H54" s="222">
        <f t="shared" si="60"/>
        <v>4.7040000000000006</v>
      </c>
      <c r="I54" s="556">
        <f t="shared" si="61"/>
        <v>13.5</v>
      </c>
      <c r="J54" s="177">
        <f t="shared" si="62"/>
        <v>12.25</v>
      </c>
      <c r="K54" s="452">
        <f t="shared" si="63"/>
        <v>25.75</v>
      </c>
      <c r="L54" s="452"/>
      <c r="M54" s="222">
        <f t="shared" si="64"/>
        <v>0.47572815533980584</v>
      </c>
      <c r="N54" s="177">
        <f t="shared" si="5"/>
        <v>12.507487864077669</v>
      </c>
      <c r="O54" s="177">
        <f t="shared" si="45"/>
        <v>4.7040000000000006</v>
      </c>
      <c r="P54" s="222">
        <f t="shared" si="65"/>
        <v>1.0422906553398057</v>
      </c>
      <c r="Q54" s="222">
        <f t="shared" si="66"/>
        <v>12</v>
      </c>
      <c r="R54" s="222">
        <f t="shared" si="67"/>
        <v>1.0971480582524269</v>
      </c>
      <c r="S54" s="177">
        <f t="shared" si="68"/>
        <v>53.632152002589905</v>
      </c>
      <c r="T54" s="177">
        <f t="shared" si="69"/>
        <v>12</v>
      </c>
      <c r="U54" s="222">
        <f t="shared" si="70"/>
        <v>1.5419883040935674</v>
      </c>
      <c r="V54" s="222">
        <f t="shared" si="71"/>
        <v>0.79954949101147943</v>
      </c>
      <c r="W54" s="222">
        <f t="shared" si="72"/>
        <v>0.88113617376775277</v>
      </c>
      <c r="X54" s="202">
        <f t="shared" si="73"/>
        <v>350</v>
      </c>
      <c r="Y54" s="452">
        <f t="shared" si="46"/>
        <v>350</v>
      </c>
      <c r="AA54" s="222">
        <f t="shared" si="74"/>
        <v>2.6213592233009715</v>
      </c>
      <c r="AB54" s="178">
        <f t="shared" si="75"/>
        <v>1.4979195561719838</v>
      </c>
      <c r="AC54" s="178">
        <f t="shared" si="76"/>
        <v>0.68715241775850722</v>
      </c>
      <c r="AD54" s="178"/>
      <c r="AE54" s="178">
        <f t="shared" si="77"/>
        <v>0.46857142857142853</v>
      </c>
      <c r="AF54" s="560">
        <f>MAX(12, F54/(0.5*AE54/1000000*Isw_min*Nps)/1000)</f>
        <v>2040.452111838192</v>
      </c>
      <c r="AG54" s="543">
        <f t="shared" si="78"/>
        <v>6.723999999999998E-2</v>
      </c>
      <c r="AI54" s="178">
        <f t="shared" si="79"/>
        <v>2.0313335003080328</v>
      </c>
      <c r="AJ54" s="178">
        <f t="shared" si="80"/>
        <v>2.0313335003080328</v>
      </c>
      <c r="AK54" s="178">
        <f t="shared" si="81"/>
        <v>2.0972840743022467</v>
      </c>
      <c r="AM54" s="560">
        <f t="shared" si="82"/>
        <v>392</v>
      </c>
      <c r="AN54" s="470">
        <f t="shared" si="83"/>
        <v>350</v>
      </c>
      <c r="AP54">
        <f t="shared" si="84"/>
        <v>392</v>
      </c>
      <c r="AQ54" s="470">
        <f t="shared" si="85"/>
        <v>350</v>
      </c>
      <c r="AR54" s="470"/>
      <c r="AS54" s="6">
        <f t="shared" si="47"/>
        <v>2.8571428571428572</v>
      </c>
      <c r="AT54" s="6">
        <f t="shared" si="86"/>
        <v>1.0532840371967576</v>
      </c>
      <c r="AU54" s="6">
        <f t="shared" si="48"/>
        <v>1.8038588199460996</v>
      </c>
      <c r="AV54" s="6">
        <f t="shared" si="87"/>
        <v>1.1607620001760186</v>
      </c>
      <c r="AW54" s="178">
        <f t="shared" si="49"/>
        <v>0.36864941301886511</v>
      </c>
      <c r="AX54" s="178">
        <f t="shared" si="88"/>
        <v>5.0547368421052639</v>
      </c>
      <c r="AY54" s="178">
        <f t="shared" si="89"/>
        <v>0.64124179888695998</v>
      </c>
      <c r="AZ54" s="178">
        <f t="shared" si="50"/>
        <v>7.8827313672924308</v>
      </c>
      <c r="BA54" s="470">
        <f>L*Isw_max^2/(2*Vout_ripple*Vout)*1000000000*((1+M54)/2)^2</f>
        <v>22.244671714791423</v>
      </c>
      <c r="BB54" s="470">
        <f>L*F54^2/(2*Cout*Vout*Nps^2)*1000000000*((1+M54)/(1-M54))^2+F54*RCoutEsr</f>
        <v>8.7314568679527991</v>
      </c>
      <c r="BC54" s="6">
        <f t="shared" si="90"/>
        <v>0.9801864863506119</v>
      </c>
      <c r="BD54" s="470">
        <f>((BY54/I54/Efficiency)*AU54/Cin+(BY54/I54/Efficiency)*RCinEsr)*1000</f>
        <v>67.262938705859298</v>
      </c>
      <c r="BE54" s="6"/>
      <c r="BF54" s="178">
        <f t="shared" si="51"/>
        <v>0.71207768623934775</v>
      </c>
      <c r="BG54" s="178">
        <f t="shared" si="91"/>
        <v>0.9318712170956055</v>
      </c>
      <c r="BH54" s="178"/>
      <c r="BI54" s="543">
        <f t="shared" si="92"/>
        <v>5.5776009436398127E-2</v>
      </c>
      <c r="BJ54" s="543">
        <f t="shared" si="93"/>
        <v>9.1536965857630728E-2</v>
      </c>
      <c r="BK54" s="543">
        <f t="shared" si="94"/>
        <v>1.7499999999999998E-2</v>
      </c>
      <c r="BL54" s="543">
        <f t="shared" si="95"/>
        <v>5.2216171874999995E-2</v>
      </c>
      <c r="BM54">
        <f t="shared" si="96"/>
        <v>3.9150000000000001E-3</v>
      </c>
      <c r="BN54" s="470">
        <f t="shared" si="52"/>
        <v>220.94414716902887</v>
      </c>
      <c r="BO54" s="543">
        <f t="shared" si="97"/>
        <v>0.15680000000000002</v>
      </c>
      <c r="BP54" s="543"/>
      <c r="BR54" s="470">
        <f t="shared" si="54"/>
        <v>156.80000000000001</v>
      </c>
      <c r="BS54" s="543">
        <f t="shared" si="98"/>
        <v>2.0282185249599318E-2</v>
      </c>
      <c r="BT54" s="543">
        <f t="shared" si="99"/>
        <v>3.4735358610049803E-2</v>
      </c>
      <c r="BU54" s="543">
        <f t="shared" si="100"/>
        <v>0</v>
      </c>
      <c r="BV54" s="543">
        <f t="shared" si="101"/>
        <v>5.4157894736842113E-2</v>
      </c>
      <c r="BW54" s="470">
        <f t="shared" si="55"/>
        <v>109.17543859649123</v>
      </c>
      <c r="BX54" s="178">
        <f t="shared" si="56"/>
        <v>0.48691958576552008</v>
      </c>
      <c r="BY54" s="6">
        <f t="shared" si="57"/>
        <v>4.7040000000000006</v>
      </c>
      <c r="BZ54" s="178">
        <f t="shared" si="58"/>
        <v>0.90619781760812768</v>
      </c>
      <c r="CA54" s="6">
        <f t="shared" si="59"/>
        <v>90.619781760812771</v>
      </c>
      <c r="CD54" s="577">
        <f t="shared" si="102"/>
        <v>-50</v>
      </c>
      <c r="CE54">
        <f t="shared" si="103"/>
        <v>-50</v>
      </c>
    </row>
    <row r="55" spans="5:83" x14ac:dyDescent="0.2">
      <c r="E55" s="175">
        <v>50</v>
      </c>
      <c r="F55" s="222">
        <f t="shared" si="104"/>
        <v>0.4</v>
      </c>
      <c r="G55" s="222"/>
      <c r="H55" s="222">
        <f t="shared" si="60"/>
        <v>4.8000000000000007</v>
      </c>
      <c r="I55" s="556">
        <f t="shared" si="61"/>
        <v>13.5</v>
      </c>
      <c r="J55" s="177">
        <f t="shared" si="62"/>
        <v>12.25</v>
      </c>
      <c r="K55" s="452">
        <f t="shared" si="63"/>
        <v>25.75</v>
      </c>
      <c r="L55" s="452"/>
      <c r="M55" s="222">
        <f t="shared" si="64"/>
        <v>0.47572815533980584</v>
      </c>
      <c r="N55" s="177">
        <f t="shared" si="5"/>
        <v>12.507487864077669</v>
      </c>
      <c r="O55" s="177">
        <f t="shared" si="45"/>
        <v>4.8000000000000007</v>
      </c>
      <c r="P55" s="222">
        <f t="shared" si="65"/>
        <v>1.0422906553398057</v>
      </c>
      <c r="Q55" s="222">
        <f t="shared" si="66"/>
        <v>12</v>
      </c>
      <c r="R55" s="222">
        <f t="shared" si="67"/>
        <v>1.0971480582524269</v>
      </c>
      <c r="S55" s="177">
        <f t="shared" si="68"/>
        <v>52.292358888074745</v>
      </c>
      <c r="T55" s="177">
        <f t="shared" si="69"/>
        <v>12</v>
      </c>
      <c r="U55" s="222">
        <f t="shared" si="70"/>
        <v>1.5734574531567016</v>
      </c>
      <c r="V55" s="222">
        <f t="shared" si="71"/>
        <v>0.8158668275627341</v>
      </c>
      <c r="W55" s="222">
        <f t="shared" si="72"/>
        <v>0.8991185446609723</v>
      </c>
      <c r="X55" s="202">
        <f t="shared" si="73"/>
        <v>350</v>
      </c>
      <c r="Y55" s="452">
        <f t="shared" si="46"/>
        <v>350</v>
      </c>
      <c r="AA55" s="222">
        <f t="shared" si="74"/>
        <v>2.6213592233009715</v>
      </c>
      <c r="AB55" s="178">
        <f t="shared" si="75"/>
        <v>1.4979195561719838</v>
      </c>
      <c r="AC55" s="178">
        <f t="shared" si="76"/>
        <v>0.68715241775850722</v>
      </c>
      <c r="AD55" s="178"/>
      <c r="AE55" s="178">
        <f t="shared" si="77"/>
        <v>0.46857142857142853</v>
      </c>
      <c r="AF55" s="560">
        <f>MAX(12, F55/(0.5*AE55/1000000*Isw_min*Nps)/1000)</f>
        <v>2082.0939916716247</v>
      </c>
      <c r="AG55" s="543">
        <f t="shared" si="78"/>
        <v>6.723999999999998E-2</v>
      </c>
      <c r="AI55" s="178">
        <f t="shared" si="79"/>
        <v>2.0519567041703084</v>
      </c>
      <c r="AJ55" s="178">
        <f t="shared" si="80"/>
        <v>2.0519567041703084</v>
      </c>
      <c r="AK55" s="178">
        <f t="shared" si="81"/>
        <v>2.112560521607636</v>
      </c>
      <c r="AM55" s="560">
        <f t="shared" si="82"/>
        <v>400</v>
      </c>
      <c r="AN55" s="470">
        <f t="shared" si="83"/>
        <v>350</v>
      </c>
      <c r="AP55">
        <f t="shared" si="84"/>
        <v>400</v>
      </c>
      <c r="AQ55" s="470">
        <f t="shared" si="85"/>
        <v>350</v>
      </c>
      <c r="AR55" s="470"/>
      <c r="AS55" s="6">
        <f t="shared" si="47"/>
        <v>2.8571428571428572</v>
      </c>
      <c r="AT55" s="6">
        <f t="shared" si="86"/>
        <v>1.0639775503105302</v>
      </c>
      <c r="AU55" s="6">
        <f t="shared" si="48"/>
        <v>1.793165306832327</v>
      </c>
      <c r="AV55" s="6">
        <f t="shared" si="87"/>
        <v>1.172546688097319</v>
      </c>
      <c r="AW55" s="178">
        <f t="shared" si="49"/>
        <v>0.37239214260868558</v>
      </c>
      <c r="AX55" s="178">
        <f t="shared" si="88"/>
        <v>5.1578947368421062</v>
      </c>
      <c r="AY55" s="178">
        <f t="shared" si="89"/>
        <v>0.6439120752820352</v>
      </c>
      <c r="AZ55" s="178">
        <f t="shared" si="50"/>
        <v>8.0102469496055573</v>
      </c>
      <c r="BA55" s="470">
        <f>L*Isw_max^2/(2*Vout_ripple*Vout)*1000000000*((1+M55)/2)^2</f>
        <v>22.244671714791423</v>
      </c>
      <c r="BB55" s="470">
        <f>L*F55^2/(2*Cout*Vout*Nps^2)*1000000000*((1+M55)/(1-M55))^2+F55*RCoutEsr</f>
        <v>9.066989658426488</v>
      </c>
      <c r="BC55" s="6">
        <f t="shared" si="90"/>
        <v>0.99426103216174078</v>
      </c>
      <c r="BD55" s="470">
        <f>((BY55/I55/Efficiency)*AU55/Cin+(BY55/I55/Efficiency)*RCinEsr)*1000</f>
        <v>68.235426688461374</v>
      </c>
      <c r="BE55" s="6"/>
      <c r="BF55" s="178">
        <f t="shared" si="51"/>
        <v>0.72294926429800899</v>
      </c>
      <c r="BG55" s="178">
        <f t="shared" si="91"/>
        <v>0.93853776332164307</v>
      </c>
      <c r="BH55" s="178"/>
      <c r="BI55" s="543">
        <f t="shared" si="92"/>
        <v>5.7492120262393566E-2</v>
      </c>
      <c r="BJ55" s="543">
        <f t="shared" si="93"/>
        <v>9.2466298981674522E-2</v>
      </c>
      <c r="BK55" s="543">
        <f t="shared" si="94"/>
        <v>1.7499999999999998E-2</v>
      </c>
      <c r="BL55" s="543">
        <f t="shared" si="95"/>
        <v>5.2216171874999995E-2</v>
      </c>
      <c r="BM55">
        <f t="shared" si="96"/>
        <v>3.9150000000000001E-3</v>
      </c>
      <c r="BN55" s="470">
        <f t="shared" si="52"/>
        <v>223.58959111906807</v>
      </c>
      <c r="BO55" s="543">
        <f t="shared" si="97"/>
        <v>0.16000000000000003</v>
      </c>
      <c r="BP55" s="543"/>
      <c r="BR55" s="470">
        <f t="shared" si="54"/>
        <v>160.00000000000003</v>
      </c>
      <c r="BS55" s="543">
        <f t="shared" si="98"/>
        <v>2.0906225549961296E-2</v>
      </c>
      <c r="BT55" s="543">
        <f t="shared" si="99"/>
        <v>3.5234125327231698E-2</v>
      </c>
      <c r="BU55" s="543">
        <f t="shared" si="100"/>
        <v>0</v>
      </c>
      <c r="BV55" s="543">
        <f t="shared" si="101"/>
        <v>5.5263157894736854E-2</v>
      </c>
      <c r="BW55" s="470">
        <f t="shared" si="55"/>
        <v>111.40350877192984</v>
      </c>
      <c r="BX55" s="178">
        <f t="shared" si="56"/>
        <v>0.49499309989099793</v>
      </c>
      <c r="BY55" s="6">
        <f t="shared" si="57"/>
        <v>4.8000000000000007</v>
      </c>
      <c r="BZ55" s="178">
        <f t="shared" si="58"/>
        <v>0.90651676205183584</v>
      </c>
      <c r="CA55" s="6">
        <f t="shared" si="59"/>
        <v>90.651676205183591</v>
      </c>
      <c r="CD55" s="577">
        <f t="shared" si="102"/>
        <v>-50</v>
      </c>
      <c r="CE55">
        <f t="shared" si="103"/>
        <v>-50</v>
      </c>
    </row>
    <row r="56" spans="5:83" x14ac:dyDescent="0.2">
      <c r="E56" s="175">
        <v>51</v>
      </c>
      <c r="F56" s="222">
        <f t="shared" si="104"/>
        <v>0.40800000000000003</v>
      </c>
      <c r="G56" s="222"/>
      <c r="H56" s="222">
        <f t="shared" si="60"/>
        <v>4.8960000000000008</v>
      </c>
      <c r="I56" s="556">
        <f t="shared" si="61"/>
        <v>13.5</v>
      </c>
      <c r="J56" s="177">
        <f t="shared" si="62"/>
        <v>12.25</v>
      </c>
      <c r="K56" s="452">
        <f t="shared" si="63"/>
        <v>25.75</v>
      </c>
      <c r="L56" s="452"/>
      <c r="M56" s="222">
        <f t="shared" si="64"/>
        <v>0.47572815533980584</v>
      </c>
      <c r="N56" s="177">
        <f t="shared" si="5"/>
        <v>12.507487864077669</v>
      </c>
      <c r="O56" s="177">
        <f t="shared" si="45"/>
        <v>4.8960000000000008</v>
      </c>
      <c r="P56" s="222">
        <f t="shared" si="65"/>
        <v>1.0422906553398057</v>
      </c>
      <c r="Q56" s="222">
        <f t="shared" si="66"/>
        <v>12</v>
      </c>
      <c r="R56" s="222">
        <f t="shared" si="67"/>
        <v>1.0971480582524269</v>
      </c>
      <c r="S56" s="177">
        <f t="shared" si="68"/>
        <v>51.005185231744136</v>
      </c>
      <c r="T56" s="177">
        <f t="shared" si="69"/>
        <v>12</v>
      </c>
      <c r="U56" s="222">
        <f t="shared" si="70"/>
        <v>1.6049266022198356</v>
      </c>
      <c r="V56" s="222">
        <f t="shared" si="71"/>
        <v>0.83218416411398877</v>
      </c>
      <c r="W56" s="222">
        <f t="shared" si="72"/>
        <v>0.91710091555419171</v>
      </c>
      <c r="X56" s="202">
        <f t="shared" si="73"/>
        <v>350</v>
      </c>
      <c r="Y56" s="452">
        <f t="shared" si="46"/>
        <v>350</v>
      </c>
      <c r="AA56" s="222">
        <f t="shared" si="74"/>
        <v>2.6213592233009715</v>
      </c>
      <c r="AB56" s="178">
        <f t="shared" si="75"/>
        <v>1.4979195561719838</v>
      </c>
      <c r="AC56" s="178">
        <f t="shared" si="76"/>
        <v>0.68715241775850722</v>
      </c>
      <c r="AD56" s="178"/>
      <c r="AE56" s="178">
        <f t="shared" si="77"/>
        <v>0.46857142857142853</v>
      </c>
      <c r="AF56" s="560">
        <f>MAX(12, F56/(0.5*AE56/1000000*Isw_min*Nps)/1000)</f>
        <v>2123.7358715050568</v>
      </c>
      <c r="AG56" s="543">
        <f t="shared" si="78"/>
        <v>6.723999999999998E-2</v>
      </c>
      <c r="AI56" s="178">
        <f t="shared" si="79"/>
        <v>2.0723746867073203</v>
      </c>
      <c r="AJ56" s="178">
        <f t="shared" si="80"/>
        <v>2.0723746867073203</v>
      </c>
      <c r="AK56" s="178">
        <f t="shared" si="81"/>
        <v>2.1276849531165336</v>
      </c>
      <c r="AM56" s="560">
        <f t="shared" si="82"/>
        <v>408.00000000000006</v>
      </c>
      <c r="AN56" s="470">
        <f t="shared" si="83"/>
        <v>350</v>
      </c>
      <c r="AP56">
        <f t="shared" si="84"/>
        <v>408.00000000000006</v>
      </c>
      <c r="AQ56" s="470">
        <f t="shared" si="85"/>
        <v>350</v>
      </c>
      <c r="AR56" s="470"/>
      <c r="AS56" s="6">
        <f t="shared" si="47"/>
        <v>2.8571428571428572</v>
      </c>
      <c r="AT56" s="6">
        <f t="shared" si="86"/>
        <v>1.0745646523667587</v>
      </c>
      <c r="AU56" s="6">
        <f t="shared" si="48"/>
        <v>1.7825782047760985</v>
      </c>
      <c r="AV56" s="6">
        <f t="shared" si="87"/>
        <v>1.1842141066898972</v>
      </c>
      <c r="AW56" s="178">
        <f t="shared" si="49"/>
        <v>0.37609762832836552</v>
      </c>
      <c r="AX56" s="178">
        <f t="shared" si="88"/>
        <v>5.2610526315789485</v>
      </c>
      <c r="AY56" s="178">
        <f t="shared" si="89"/>
        <v>0.6464797410144788</v>
      </c>
      <c r="AZ56" s="178">
        <f t="shared" si="50"/>
        <v>8.1380007721867962</v>
      </c>
      <c r="BA56" s="470">
        <f>L*Isw_max^2/(2*Vout_ripple*Vout)*1000000000*((1+M56)/2)^2</f>
        <v>22.244671714791423</v>
      </c>
      <c r="BB56" s="470">
        <f>L*F56^2/(2*Cout*Vout*Nps^2)*1000000000*((1+M56)/(1-M56))^2+F56*RCoutEsr</f>
        <v>9.4088160406269168</v>
      </c>
      <c r="BC56" s="6">
        <f t="shared" si="90"/>
        <v>1.0081585896277558</v>
      </c>
      <c r="BD56" s="470">
        <f>((BY56/I56/Efficiency)*AU56/Cin+(BY56/I56/Efficiency)*RCinEsr)*1000</f>
        <v>69.195967957768275</v>
      </c>
      <c r="BE56" s="6"/>
      <c r="BF56" s="178">
        <f t="shared" si="51"/>
        <v>0.73376661607767446</v>
      </c>
      <c r="BG56" s="178">
        <f t="shared" si="91"/>
        <v>0.94507433596428814</v>
      </c>
      <c r="BH56" s="178"/>
      <c r="BI56" s="543">
        <f t="shared" si="92"/>
        <v>5.9225479155708943E-2</v>
      </c>
      <c r="BJ56" s="543">
        <f t="shared" si="93"/>
        <v>9.3386384319748619E-2</v>
      </c>
      <c r="BK56" s="543">
        <f t="shared" si="94"/>
        <v>1.7499999999999998E-2</v>
      </c>
      <c r="BL56" s="543">
        <f t="shared" si="95"/>
        <v>5.2216171874999995E-2</v>
      </c>
      <c r="BM56">
        <f t="shared" si="96"/>
        <v>3.9150000000000001E-3</v>
      </c>
      <c r="BN56" s="470">
        <f t="shared" si="52"/>
        <v>226.24303535045757</v>
      </c>
      <c r="BO56" s="543">
        <f t="shared" si="97"/>
        <v>0.16320000000000001</v>
      </c>
      <c r="BP56" s="543"/>
      <c r="BR56" s="470">
        <f t="shared" si="54"/>
        <v>163.20000000000002</v>
      </c>
      <c r="BS56" s="543">
        <f t="shared" si="98"/>
        <v>2.1536537874803252E-2</v>
      </c>
      <c r="BT56" s="543">
        <f t="shared" si="99"/>
        <v>3.5726620019933611E-2</v>
      </c>
      <c r="BU56" s="543">
        <f t="shared" si="100"/>
        <v>0</v>
      </c>
      <c r="BV56" s="543">
        <f t="shared" si="101"/>
        <v>5.6368421052631602E-2</v>
      </c>
      <c r="BW56" s="470">
        <f t="shared" si="55"/>
        <v>113.63157894736847</v>
      </c>
      <c r="BX56" s="178">
        <f t="shared" si="56"/>
        <v>0.50307461429782596</v>
      </c>
      <c r="BY56" s="6">
        <f t="shared" si="57"/>
        <v>4.8960000000000008</v>
      </c>
      <c r="BZ56" s="178">
        <f t="shared" si="58"/>
        <v>0.90682206669906285</v>
      </c>
      <c r="CA56" s="6">
        <f t="shared" si="59"/>
        <v>90.682206669906279</v>
      </c>
      <c r="CD56" s="577">
        <f t="shared" si="102"/>
        <v>-50</v>
      </c>
      <c r="CE56">
        <f t="shared" si="103"/>
        <v>-50</v>
      </c>
    </row>
    <row r="57" spans="5:83" x14ac:dyDescent="0.2">
      <c r="E57" s="175">
        <v>52</v>
      </c>
      <c r="F57" s="222">
        <f t="shared" si="104"/>
        <v>0.41600000000000004</v>
      </c>
      <c r="G57" s="222"/>
      <c r="H57" s="222">
        <f t="shared" si="60"/>
        <v>4.9920000000000009</v>
      </c>
      <c r="I57" s="556">
        <f t="shared" si="61"/>
        <v>13.5</v>
      </c>
      <c r="J57" s="177">
        <f t="shared" si="62"/>
        <v>12.25</v>
      </c>
      <c r="K57" s="452">
        <f t="shared" si="63"/>
        <v>25.75</v>
      </c>
      <c r="L57" s="452"/>
      <c r="M57" s="222">
        <f t="shared" si="64"/>
        <v>0.47572815533980584</v>
      </c>
      <c r="N57" s="177">
        <f t="shared" si="5"/>
        <v>12.507487864077669</v>
      </c>
      <c r="O57" s="177">
        <f t="shared" si="45"/>
        <v>4.9920000000000009</v>
      </c>
      <c r="P57" s="222">
        <f t="shared" si="65"/>
        <v>1.0422906553398057</v>
      </c>
      <c r="Q57" s="222">
        <f t="shared" si="66"/>
        <v>12</v>
      </c>
      <c r="R57" s="222">
        <f t="shared" si="67"/>
        <v>1.0971480582524269</v>
      </c>
      <c r="S57" s="177">
        <f t="shared" si="68"/>
        <v>49.767596445463504</v>
      </c>
      <c r="T57" s="177">
        <f t="shared" si="69"/>
        <v>12</v>
      </c>
      <c r="U57" s="222">
        <f t="shared" si="70"/>
        <v>1.6363957512829697</v>
      </c>
      <c r="V57" s="222">
        <f t="shared" si="71"/>
        <v>0.84850150066524355</v>
      </c>
      <c r="W57" s="222">
        <f t="shared" si="72"/>
        <v>0.93508328644741123</v>
      </c>
      <c r="X57" s="202">
        <f t="shared" si="73"/>
        <v>350</v>
      </c>
      <c r="Y57" s="452">
        <f t="shared" si="46"/>
        <v>350</v>
      </c>
      <c r="AA57" s="222">
        <f t="shared" si="74"/>
        <v>2.6213592233009715</v>
      </c>
      <c r="AB57" s="178">
        <f t="shared" si="75"/>
        <v>1.4979195561719838</v>
      </c>
      <c r="AC57" s="178">
        <f t="shared" si="76"/>
        <v>0.68715241775850722</v>
      </c>
      <c r="AD57" s="178"/>
      <c r="AE57" s="178">
        <f t="shared" si="77"/>
        <v>0.46857142857142853</v>
      </c>
      <c r="AF57" s="560">
        <f>MAX(12, F57/(0.5*AE57/1000000*Isw_min*Nps)/1000)</f>
        <v>2165.3777513384898</v>
      </c>
      <c r="AG57" s="543">
        <f t="shared" si="78"/>
        <v>6.723999999999998E-2</v>
      </c>
      <c r="AI57" s="178">
        <f t="shared" si="79"/>
        <v>2.0925934551223881</v>
      </c>
      <c r="AJ57" s="178">
        <f t="shared" si="80"/>
        <v>2.0925934551223881</v>
      </c>
      <c r="AK57" s="178">
        <f t="shared" si="81"/>
        <v>2.1426618186091764</v>
      </c>
      <c r="AM57" s="560">
        <f t="shared" si="82"/>
        <v>416.00000000000006</v>
      </c>
      <c r="AN57" s="470">
        <f t="shared" si="83"/>
        <v>350</v>
      </c>
      <c r="AP57">
        <f t="shared" si="84"/>
        <v>416.00000000000006</v>
      </c>
      <c r="AQ57" s="470">
        <f t="shared" si="85"/>
        <v>350</v>
      </c>
      <c r="AR57" s="470"/>
      <c r="AS57" s="6">
        <f t="shared" si="47"/>
        <v>2.8571428571428572</v>
      </c>
      <c r="AT57" s="6">
        <f t="shared" si="86"/>
        <v>1.0850484582116087</v>
      </c>
      <c r="AU57" s="6">
        <f t="shared" si="48"/>
        <v>1.7720943989312485</v>
      </c>
      <c r="AV57" s="6">
        <f t="shared" si="87"/>
        <v>1.1957676886413646</v>
      </c>
      <c r="AW57" s="178">
        <f t="shared" si="49"/>
        <v>0.37976696037406305</v>
      </c>
      <c r="AX57" s="178">
        <f t="shared" si="88"/>
        <v>5.3642105263157918</v>
      </c>
      <c r="AY57" s="178">
        <f t="shared" si="89"/>
        <v>0.64894779968595029</v>
      </c>
      <c r="AZ57" s="178">
        <f t="shared" si="50"/>
        <v>8.2660123493934812</v>
      </c>
      <c r="BA57" s="470">
        <f>L*Isw_max^2/(2*Vout_ripple*Vout)*1000000000*((1+M57)/2)^2</f>
        <v>22.244671714791423</v>
      </c>
      <c r="BB57" s="470">
        <f>L*F57^2/(2*Cout*Vout*Nps^2)*1000000000*((1+M57)/(1-M57))^2+F57*RCoutEsr</f>
        <v>9.7569360145540891</v>
      </c>
      <c r="BC57" s="6">
        <f t="shared" si="90"/>
        <v>1.0218809026888793</v>
      </c>
      <c r="BD57" s="470">
        <f>((BY57/I57/Efficiency)*AU57/Cin+(BY57/I57/Efficiency)*RCinEsr)*1000</f>
        <v>70.144680229744992</v>
      </c>
      <c r="BE57" s="6"/>
      <c r="BF57" s="178">
        <f t="shared" si="51"/>
        <v>0.74453106757279697</v>
      </c>
      <c r="BG57" s="178">
        <f t="shared" si="91"/>
        <v>0.95148442563498092</v>
      </c>
      <c r="BH57" s="178"/>
      <c r="BI57" s="543">
        <f t="shared" si="92"/>
        <v>6.0975916163919758E-2</v>
      </c>
      <c r="BJ57" s="543">
        <f t="shared" si="93"/>
        <v>9.4297492571452618E-2</v>
      </c>
      <c r="BK57" s="543">
        <f t="shared" si="94"/>
        <v>1.7499999999999998E-2</v>
      </c>
      <c r="BL57" s="543">
        <f t="shared" si="95"/>
        <v>5.2216171874999995E-2</v>
      </c>
      <c r="BM57">
        <f t="shared" si="96"/>
        <v>3.9150000000000001E-3</v>
      </c>
      <c r="BN57" s="470">
        <f t="shared" si="52"/>
        <v>228.90458061037236</v>
      </c>
      <c r="BO57" s="543">
        <f t="shared" si="97"/>
        <v>0.16640000000000002</v>
      </c>
      <c r="BP57" s="543"/>
      <c r="BR57" s="470">
        <f t="shared" si="54"/>
        <v>166.40000000000003</v>
      </c>
      <c r="BS57" s="543">
        <f t="shared" si="98"/>
        <v>2.2173060423243549E-2</v>
      </c>
      <c r="BT57" s="543">
        <f t="shared" si="99"/>
        <v>3.6212904489037183E-2</v>
      </c>
      <c r="BU57" s="543">
        <f t="shared" si="100"/>
        <v>0</v>
      </c>
      <c r="BV57" s="543">
        <f t="shared" si="101"/>
        <v>5.747368421052635E-2</v>
      </c>
      <c r="BW57" s="470">
        <f t="shared" si="55"/>
        <v>115.85964912280708</v>
      </c>
      <c r="BX57" s="178">
        <f t="shared" si="56"/>
        <v>0.51116422973317954</v>
      </c>
      <c r="BY57" s="6">
        <f t="shared" si="57"/>
        <v>4.9920000000000009</v>
      </c>
      <c r="BZ57" s="178">
        <f t="shared" si="58"/>
        <v>0.90711448752130686</v>
      </c>
      <c r="CA57" s="6">
        <f t="shared" si="59"/>
        <v>90.711448752130678</v>
      </c>
      <c r="CD57" s="577">
        <f t="shared" si="102"/>
        <v>-50</v>
      </c>
      <c r="CE57">
        <f t="shared" si="103"/>
        <v>-50</v>
      </c>
    </row>
    <row r="58" spans="5:83" x14ac:dyDescent="0.2">
      <c r="E58" s="175">
        <v>53</v>
      </c>
      <c r="F58" s="222">
        <f t="shared" si="104"/>
        <v>0.42400000000000004</v>
      </c>
      <c r="G58" s="222"/>
      <c r="H58" s="222">
        <f t="shared" si="60"/>
        <v>5.088000000000001</v>
      </c>
      <c r="I58" s="556">
        <f t="shared" si="61"/>
        <v>13.5</v>
      </c>
      <c r="J58" s="177">
        <f t="shared" si="62"/>
        <v>12.25</v>
      </c>
      <c r="K58" s="452">
        <f t="shared" si="63"/>
        <v>25.75</v>
      </c>
      <c r="L58" s="452"/>
      <c r="M58" s="222">
        <f t="shared" si="64"/>
        <v>0.47572815533980584</v>
      </c>
      <c r="N58" s="177">
        <f t="shared" si="5"/>
        <v>12.507487864077669</v>
      </c>
      <c r="O58" s="177">
        <f t="shared" si="45"/>
        <v>5.088000000000001</v>
      </c>
      <c r="P58" s="222">
        <f t="shared" si="65"/>
        <v>1.0422906553398057</v>
      </c>
      <c r="Q58" s="222">
        <f t="shared" si="66"/>
        <v>12</v>
      </c>
      <c r="R58" s="222">
        <f t="shared" si="67"/>
        <v>1.0971480582524269</v>
      </c>
      <c r="S58" s="177">
        <f t="shared" si="68"/>
        <v>48.576786988450685</v>
      </c>
      <c r="T58" s="177">
        <f t="shared" si="69"/>
        <v>12</v>
      </c>
      <c r="U58" s="222">
        <f t="shared" si="70"/>
        <v>1.6678649003461037</v>
      </c>
      <c r="V58" s="222">
        <f t="shared" si="71"/>
        <v>0.86481883721649822</v>
      </c>
      <c r="W58" s="222">
        <f t="shared" si="72"/>
        <v>0.95306565734063065</v>
      </c>
      <c r="X58" s="202">
        <f t="shared" si="73"/>
        <v>350</v>
      </c>
      <c r="Y58" s="452">
        <f t="shared" si="46"/>
        <v>350</v>
      </c>
      <c r="AA58" s="222">
        <f t="shared" si="74"/>
        <v>2.6213592233009715</v>
      </c>
      <c r="AB58" s="178">
        <f t="shared" si="75"/>
        <v>1.4979195561719838</v>
      </c>
      <c r="AC58" s="178">
        <f t="shared" si="76"/>
        <v>0.68715241775850722</v>
      </c>
      <c r="AD58" s="178"/>
      <c r="AE58" s="178">
        <f t="shared" si="77"/>
        <v>0.46857142857142853</v>
      </c>
      <c r="AF58" s="560">
        <f>MAX(12, F58/(0.5*AE58/1000000*Isw_min*Nps)/1000)</f>
        <v>2207.0196311719224</v>
      </c>
      <c r="AG58" s="543">
        <f t="shared" si="78"/>
        <v>6.723999999999998E-2</v>
      </c>
      <c r="AI58" s="178">
        <f t="shared" si="79"/>
        <v>2.1126187291456175</v>
      </c>
      <c r="AJ58" s="178">
        <f t="shared" si="80"/>
        <v>2.1126187291456175</v>
      </c>
      <c r="AK58" s="178">
        <f t="shared" si="81"/>
        <v>2.1574953549226796</v>
      </c>
      <c r="AM58" s="560">
        <f t="shared" si="82"/>
        <v>424.00000000000006</v>
      </c>
      <c r="AN58" s="470">
        <f t="shared" si="83"/>
        <v>350</v>
      </c>
      <c r="AP58">
        <f t="shared" si="84"/>
        <v>424.00000000000006</v>
      </c>
      <c r="AQ58" s="470">
        <f t="shared" si="85"/>
        <v>350</v>
      </c>
      <c r="AR58" s="470"/>
      <c r="AS58" s="6">
        <f t="shared" si="47"/>
        <v>2.8571428571428572</v>
      </c>
      <c r="AT58" s="6">
        <f t="shared" si="86"/>
        <v>1.095431933631061</v>
      </c>
      <c r="AU58" s="6">
        <f t="shared" si="48"/>
        <v>1.7617109235117963</v>
      </c>
      <c r="AV58" s="6">
        <f t="shared" si="87"/>
        <v>1.2072107023689242</v>
      </c>
      <c r="AW58" s="178">
        <f t="shared" si="49"/>
        <v>0.38340117677087132</v>
      </c>
      <c r="AX58" s="178">
        <f t="shared" si="88"/>
        <v>5.4673684210526341</v>
      </c>
      <c r="AY58" s="178">
        <f t="shared" si="89"/>
        <v>0.65131911116150254</v>
      </c>
      <c r="AZ58" s="178">
        <f t="shared" si="50"/>
        <v>8.3943006237029234</v>
      </c>
      <c r="BA58" s="470">
        <f>L*Isw_max^2/(2*Vout_ripple*Vout)*1000000000*((1+M58)/2)^2</f>
        <v>22.244671714791423</v>
      </c>
      <c r="BB58" s="470">
        <f>L*F58^2/(2*Cout*Vout*Nps^2)*1000000000*((1+M58)/(1-M58))^2+F58*RCoutEsr</f>
        <v>10.111349580208003</v>
      </c>
      <c r="BC58" s="6">
        <f t="shared" si="90"/>
        <v>1.0354296647263614</v>
      </c>
      <c r="BD58" s="470">
        <f>((BY58/I58/Efficiency)*AU58/Cin+(BY58/I58/Efficiency)*RCinEsr)*1000</f>
        <v>71.081677807625894</v>
      </c>
      <c r="BE58" s="6"/>
      <c r="BF58" s="178">
        <f t="shared" si="51"/>
        <v>0.7552438875304478</v>
      </c>
      <c r="BG58" s="178">
        <f t="shared" si="91"/>
        <v>0.95777135507046307</v>
      </c>
      <c r="BH58" s="178"/>
      <c r="BI58" s="543">
        <f t="shared" si="92"/>
        <v>6.2743266261731406E-2</v>
      </c>
      <c r="BJ58" s="543">
        <f t="shared" si="93"/>
        <v>9.5199881482124382E-2</v>
      </c>
      <c r="BK58" s="543">
        <f t="shared" si="94"/>
        <v>1.7499999999999998E-2</v>
      </c>
      <c r="BL58" s="543">
        <f t="shared" si="95"/>
        <v>5.2216171874999995E-2</v>
      </c>
      <c r="BM58">
        <f t="shared" si="96"/>
        <v>3.9150000000000001E-3</v>
      </c>
      <c r="BN58" s="470">
        <f t="shared" si="52"/>
        <v>231.57431961885578</v>
      </c>
      <c r="BO58" s="543">
        <f t="shared" si="97"/>
        <v>0.16960000000000003</v>
      </c>
      <c r="BP58" s="543"/>
      <c r="BR58" s="470">
        <f t="shared" si="54"/>
        <v>169.60000000000002</v>
      </c>
      <c r="BS58" s="543">
        <f t="shared" si="98"/>
        <v>2.2815733186084146E-2</v>
      </c>
      <c r="BT58" s="543">
        <f t="shared" si="99"/>
        <v>3.6693038743740441E-2</v>
      </c>
      <c r="BU58" s="543">
        <f t="shared" si="100"/>
        <v>0</v>
      </c>
      <c r="BV58" s="543">
        <f t="shared" si="101"/>
        <v>5.8578947368421098E-2</v>
      </c>
      <c r="BW58" s="470">
        <f t="shared" si="55"/>
        <v>118.08771929824569</v>
      </c>
      <c r="BX58" s="178">
        <f t="shared" si="56"/>
        <v>0.51926203891710143</v>
      </c>
      <c r="BY58" s="6">
        <f t="shared" si="57"/>
        <v>5.088000000000001</v>
      </c>
      <c r="BZ58" s="178">
        <f t="shared" si="58"/>
        <v>0.90739472574793667</v>
      </c>
      <c r="CA58" s="6">
        <f t="shared" si="59"/>
        <v>90.739472574793666</v>
      </c>
      <c r="CD58" s="577">
        <f t="shared" si="102"/>
        <v>-50</v>
      </c>
      <c r="CE58">
        <f t="shared" si="103"/>
        <v>-50</v>
      </c>
    </row>
    <row r="59" spans="5:83" x14ac:dyDescent="0.2">
      <c r="E59" s="175">
        <v>54</v>
      </c>
      <c r="F59" s="222">
        <f t="shared" si="104"/>
        <v>0.43200000000000005</v>
      </c>
      <c r="G59" s="222"/>
      <c r="H59" s="222">
        <f t="shared" si="60"/>
        <v>5.1840000000000011</v>
      </c>
      <c r="I59" s="556">
        <f t="shared" si="61"/>
        <v>13.5</v>
      </c>
      <c r="J59" s="177">
        <f t="shared" si="62"/>
        <v>12.25</v>
      </c>
      <c r="K59" s="452">
        <f t="shared" si="63"/>
        <v>25.75</v>
      </c>
      <c r="L59" s="452"/>
      <c r="M59" s="222">
        <f t="shared" si="64"/>
        <v>0.47572815533980584</v>
      </c>
      <c r="N59" s="177">
        <f t="shared" si="5"/>
        <v>12.507487864077669</v>
      </c>
      <c r="O59" s="177">
        <f t="shared" si="45"/>
        <v>5.1840000000000011</v>
      </c>
      <c r="P59" s="222">
        <f t="shared" si="65"/>
        <v>1.0422906553398057</v>
      </c>
      <c r="Q59" s="222">
        <f t="shared" si="66"/>
        <v>12</v>
      </c>
      <c r="R59" s="222">
        <f t="shared" si="67"/>
        <v>1.0971480582524269</v>
      </c>
      <c r="S59" s="177">
        <f t="shared" si="68"/>
        <v>47.4301591596899</v>
      </c>
      <c r="T59" s="177">
        <f t="shared" si="69"/>
        <v>12</v>
      </c>
      <c r="U59" s="222">
        <f t="shared" si="70"/>
        <v>1.6993340494092377</v>
      </c>
      <c r="V59" s="222">
        <f t="shared" si="71"/>
        <v>0.88113617376775288</v>
      </c>
      <c r="W59" s="222">
        <f t="shared" si="72"/>
        <v>0.97104802823385017</v>
      </c>
      <c r="X59" s="202">
        <f t="shared" si="73"/>
        <v>350</v>
      </c>
      <c r="Y59" s="452">
        <f t="shared" si="46"/>
        <v>350</v>
      </c>
      <c r="AA59" s="222">
        <f t="shared" si="74"/>
        <v>2.6213592233009715</v>
      </c>
      <c r="AB59" s="178">
        <f t="shared" si="75"/>
        <v>1.4979195561719838</v>
      </c>
      <c r="AC59" s="178">
        <f t="shared" si="76"/>
        <v>0.68715241775850722</v>
      </c>
      <c r="AD59" s="178"/>
      <c r="AE59" s="178">
        <f t="shared" si="77"/>
        <v>0.46857142857142853</v>
      </c>
      <c r="AF59" s="560">
        <f>MAX(12, F59/(0.5*AE59/1000000*Isw_min*Nps)/1000)</f>
        <v>2248.6615110053544</v>
      </c>
      <c r="AG59" s="543">
        <f t="shared" si="78"/>
        <v>6.723999999999998E-2</v>
      </c>
      <c r="AI59" s="178">
        <f t="shared" si="79"/>
        <v>2.1324559599327326</v>
      </c>
      <c r="AJ59" s="178">
        <f t="shared" si="80"/>
        <v>2.1324559599327326</v>
      </c>
      <c r="AK59" s="178">
        <f t="shared" si="81"/>
        <v>2.1721895999501726</v>
      </c>
      <c r="AM59" s="560">
        <f t="shared" si="82"/>
        <v>432.00000000000006</v>
      </c>
      <c r="AN59" s="470">
        <f t="shared" si="83"/>
        <v>350</v>
      </c>
      <c r="AP59">
        <f t="shared" si="84"/>
        <v>432.00000000000006</v>
      </c>
      <c r="AQ59" s="470">
        <f t="shared" si="85"/>
        <v>350</v>
      </c>
      <c r="AR59" s="470"/>
      <c r="AS59" s="6">
        <f t="shared" si="47"/>
        <v>2.8571428571428572</v>
      </c>
      <c r="AT59" s="6">
        <f t="shared" si="86"/>
        <v>1.1057179051503059</v>
      </c>
      <c r="AU59" s="6">
        <f t="shared" si="48"/>
        <v>1.7514249519925513</v>
      </c>
      <c r="AV59" s="6">
        <f t="shared" si="87"/>
        <v>1.2185462628187043</v>
      </c>
      <c r="AW59" s="178">
        <f t="shared" si="49"/>
        <v>0.38700126680260705</v>
      </c>
      <c r="AX59" s="178">
        <f t="shared" si="88"/>
        <v>5.5705263157894747</v>
      </c>
      <c r="AY59" s="178">
        <f t="shared" si="89"/>
        <v>0.65359640101899785</v>
      </c>
      <c r="AZ59" s="178">
        <f t="shared" si="50"/>
        <v>8.522884010843196</v>
      </c>
      <c r="BA59" s="470">
        <f>L*Isw_max^2/(2*Vout_ripple*Vout)*1000000000*((1+M59)/2)^2</f>
        <v>22.244671714791423</v>
      </c>
      <c r="BB59" s="470">
        <f>L*F59^2/(2*Cout*Vout*Nps^2)*1000000000*((1+M59)/(1-M59))^2+F59*RCoutEsr</f>
        <v>10.472056737588655</v>
      </c>
      <c r="BC59" s="6">
        <f t="shared" si="90"/>
        <v>1.0488065209592825</v>
      </c>
      <c r="BD59" s="470">
        <f>((BY59/I59/Efficiency)*AU59/Cin+(BY59/I59/Efficiency)*RCinEsr)*1000</f>
        <v>72.007071743698944</v>
      </c>
      <c r="BE59" s="6"/>
      <c r="BF59" s="178">
        <f t="shared" si="51"/>
        <v>0.76590629095330365</v>
      </c>
      <c r="BG59" s="178">
        <f t="shared" si="91"/>
        <v>0.96393829012150156</v>
      </c>
      <c r="BH59" s="178"/>
      <c r="BI59" s="543">
        <f t="shared" si="92"/>
        <v>6.452736911740313E-2</v>
      </c>
      <c r="BJ59" s="543">
        <f t="shared" si="93"/>
        <v>9.6093796694468769E-2</v>
      </c>
      <c r="BK59" s="543">
        <f t="shared" si="94"/>
        <v>1.7499999999999998E-2</v>
      </c>
      <c r="BL59" s="543">
        <f t="shared" si="95"/>
        <v>5.2216171874999995E-2</v>
      </c>
      <c r="BM59">
        <f t="shared" si="96"/>
        <v>3.9150000000000001E-3</v>
      </c>
      <c r="BN59" s="470">
        <f t="shared" si="52"/>
        <v>234.2523376868719</v>
      </c>
      <c r="BO59" s="543">
        <f t="shared" si="97"/>
        <v>0.17280000000000004</v>
      </c>
      <c r="BP59" s="543"/>
      <c r="BR59" s="470">
        <f t="shared" si="54"/>
        <v>172.80000000000004</v>
      </c>
      <c r="BS59" s="543">
        <f t="shared" si="98"/>
        <v>2.3464497860873866E-2</v>
      </c>
      <c r="BT59" s="543">
        <f t="shared" si="99"/>
        <v>3.7167081086494566E-2</v>
      </c>
      <c r="BU59" s="543">
        <f t="shared" si="100"/>
        <v>0</v>
      </c>
      <c r="BV59" s="543">
        <f t="shared" si="101"/>
        <v>5.9684210526315805E-2</v>
      </c>
      <c r="BW59" s="470">
        <f t="shared" si="55"/>
        <v>120.31578947368423</v>
      </c>
      <c r="BX59" s="178">
        <f t="shared" si="56"/>
        <v>0.52736812716055614</v>
      </c>
      <c r="BY59" s="6">
        <f t="shared" si="57"/>
        <v>5.1840000000000011</v>
      </c>
      <c r="BZ59" s="178">
        <f t="shared" si="58"/>
        <v>0.9076634327504397</v>
      </c>
      <c r="CA59" s="6">
        <f t="shared" si="59"/>
        <v>90.766343275043965</v>
      </c>
      <c r="CD59" s="577">
        <f t="shared" si="102"/>
        <v>-50</v>
      </c>
      <c r="CE59">
        <f t="shared" si="103"/>
        <v>-50</v>
      </c>
    </row>
    <row r="60" spans="5:83" x14ac:dyDescent="0.2">
      <c r="E60" s="175">
        <v>55</v>
      </c>
      <c r="F60" s="222">
        <f t="shared" si="104"/>
        <v>0.44000000000000006</v>
      </c>
      <c r="G60" s="222"/>
      <c r="H60" s="222">
        <f t="shared" si="60"/>
        <v>5.2800000000000011</v>
      </c>
      <c r="I60" s="556">
        <f t="shared" si="61"/>
        <v>13.5</v>
      </c>
      <c r="J60" s="177">
        <f t="shared" si="62"/>
        <v>12.25</v>
      </c>
      <c r="K60" s="452">
        <f t="shared" si="63"/>
        <v>25.75</v>
      </c>
      <c r="L60" s="452"/>
      <c r="M60" s="222">
        <f t="shared" si="64"/>
        <v>0.47572815533980584</v>
      </c>
      <c r="N60" s="177">
        <f t="shared" si="5"/>
        <v>12.507487864077669</v>
      </c>
      <c r="O60" s="177">
        <f t="shared" si="45"/>
        <v>5.2800000000000011</v>
      </c>
      <c r="P60" s="222">
        <f t="shared" si="65"/>
        <v>1.0422906553398057</v>
      </c>
      <c r="Q60" s="222">
        <f t="shared" si="66"/>
        <v>12</v>
      </c>
      <c r="R60" s="222">
        <f t="shared" si="67"/>
        <v>1.0971480582524269</v>
      </c>
      <c r="S60" s="177">
        <f t="shared" si="68"/>
        <v>46.325304203913916</v>
      </c>
      <c r="T60" s="177">
        <f t="shared" si="69"/>
        <v>12</v>
      </c>
      <c r="U60" s="222">
        <f t="shared" si="70"/>
        <v>1.7308031984723717</v>
      </c>
      <c r="V60" s="222">
        <f t="shared" si="71"/>
        <v>0.89745351031900755</v>
      </c>
      <c r="W60" s="222">
        <f t="shared" si="72"/>
        <v>0.98903039912706958</v>
      </c>
      <c r="X60" s="202">
        <f t="shared" si="73"/>
        <v>350</v>
      </c>
      <c r="Y60" s="452">
        <f t="shared" si="46"/>
        <v>350</v>
      </c>
      <c r="AA60" s="222">
        <f t="shared" si="74"/>
        <v>2.6213592233009715</v>
      </c>
      <c r="AB60" s="178">
        <f t="shared" si="75"/>
        <v>1.4979195561719838</v>
      </c>
      <c r="AC60" s="178">
        <f t="shared" si="76"/>
        <v>0.68715241775850722</v>
      </c>
      <c r="AD60" s="178"/>
      <c r="AE60" s="178">
        <f t="shared" si="77"/>
        <v>0.46857142857142853</v>
      </c>
      <c r="AF60" s="560">
        <f>MAX(12, F60/(0.5*AE60/1000000*Isw_min*Nps)/1000)</f>
        <v>2290.303390838787</v>
      </c>
      <c r="AG60" s="543">
        <f t="shared" si="78"/>
        <v>6.723999999999998E-2</v>
      </c>
      <c r="AI60" s="178">
        <f t="shared" si="79"/>
        <v>2.1521103473958818</v>
      </c>
      <c r="AJ60" s="178">
        <f t="shared" si="80"/>
        <v>2.1521103473958818</v>
      </c>
      <c r="AK60" s="178">
        <f t="shared" si="81"/>
        <v>2.186748405478431</v>
      </c>
      <c r="AM60" s="560">
        <f t="shared" si="82"/>
        <v>440.00000000000006</v>
      </c>
      <c r="AN60" s="470">
        <f t="shared" si="83"/>
        <v>350</v>
      </c>
      <c r="AP60">
        <f t="shared" si="84"/>
        <v>440.00000000000006</v>
      </c>
      <c r="AQ60" s="470">
        <f t="shared" si="85"/>
        <v>350</v>
      </c>
      <c r="AS60" s="6">
        <f t="shared" si="47"/>
        <v>2.8571428571428572</v>
      </c>
      <c r="AT60" s="6">
        <f t="shared" si="86"/>
        <v>1.115909069020087</v>
      </c>
      <c r="AU60" s="6">
        <f t="shared" si="48"/>
        <v>1.7412337881227702</v>
      </c>
      <c r="AV60" s="6">
        <f t="shared" si="87"/>
        <v>1.2297773413690753</v>
      </c>
      <c r="AW60" s="178">
        <f t="shared" si="49"/>
        <v>0.39056817415703043</v>
      </c>
      <c r="AX60" s="178">
        <f t="shared" si="88"/>
        <v>5.6736842105263179</v>
      </c>
      <c r="AY60" s="178">
        <f t="shared" si="89"/>
        <v>0.65578226921450999</v>
      </c>
      <c r="AZ60" s="178">
        <f t="shared" si="50"/>
        <v>8.6517804412769568</v>
      </c>
      <c r="BA60" s="470">
        <f>L*Isw_max^2/(2*Vout_ripple*Vout)*1000000000*((1+M60)/2)^2</f>
        <v>22.244671714791423</v>
      </c>
      <c r="BB60" s="470">
        <f>L*F60^2/(2*Cout*Vout*Nps^2)*1000000000*((1+M60)/(1-M60))^2+F60*RCoutEsr</f>
        <v>10.839057486696053</v>
      </c>
      <c r="BC60" s="6">
        <f t="shared" si="90"/>
        <v>1.0620130706852331</v>
      </c>
      <c r="BD60" s="470">
        <f>((BY60/I60/Efficiency)*AU60/Cin+(BY60/I60/Efficiency)*RCinEsr)*1000</f>
        <v>72.920969990551484</v>
      </c>
      <c r="BE60" s="6"/>
      <c r="BF60" s="178">
        <f t="shared" si="51"/>
        <v>0.77651944232749803</v>
      </c>
      <c r="BG60" s="178">
        <f t="shared" si="91"/>
        <v>0.96998824983099619</v>
      </c>
      <c r="BH60" s="178"/>
      <c r="BI60" s="543">
        <f t="shared" si="92"/>
        <v>6.6328068874386942E-2</v>
      </c>
      <c r="BJ60" s="543">
        <f t="shared" si="93"/>
        <v>9.6979472529526919E-2</v>
      </c>
      <c r="BK60" s="543">
        <f t="shared" si="94"/>
        <v>1.7499999999999998E-2</v>
      </c>
      <c r="BL60" s="543">
        <f t="shared" si="95"/>
        <v>5.2216171874999995E-2</v>
      </c>
      <c r="BM60">
        <f t="shared" si="96"/>
        <v>3.9150000000000001E-3</v>
      </c>
      <c r="BN60" s="470">
        <f t="shared" si="52"/>
        <v>236.93871327891384</v>
      </c>
      <c r="BO60" s="543">
        <f t="shared" si="97"/>
        <v>0.17600000000000005</v>
      </c>
      <c r="BP60" s="543"/>
      <c r="BR60" s="470">
        <f t="shared" si="54"/>
        <v>176.00000000000006</v>
      </c>
      <c r="BS60" s="543">
        <f t="shared" si="98"/>
        <v>2.411929777250434E-2</v>
      </c>
      <c r="BT60" s="543">
        <f t="shared" si="99"/>
        <v>3.7635088192407962E-2</v>
      </c>
      <c r="BU60" s="543">
        <f t="shared" si="100"/>
        <v>0</v>
      </c>
      <c r="BV60" s="543">
        <f t="shared" si="101"/>
        <v>6.078947368421056E-2</v>
      </c>
      <c r="BW60" s="470">
        <f t="shared" si="55"/>
        <v>122.54385964912285</v>
      </c>
      <c r="BX60" s="178">
        <f t="shared" si="56"/>
        <v>0.53548257292803669</v>
      </c>
      <c r="BY60" s="6">
        <f t="shared" si="57"/>
        <v>5.2800000000000011</v>
      </c>
      <c r="BZ60" s="178">
        <f t="shared" si="58"/>
        <v>0.90792121441120122</v>
      </c>
      <c r="CA60" s="6">
        <f t="shared" si="59"/>
        <v>90.792121441120116</v>
      </c>
      <c r="CD60" s="577">
        <f t="shared" si="102"/>
        <v>-50</v>
      </c>
      <c r="CE60">
        <f t="shared" si="103"/>
        <v>-50</v>
      </c>
    </row>
    <row r="61" spans="5:83" x14ac:dyDescent="0.2">
      <c r="E61" s="175">
        <v>56</v>
      </c>
      <c r="F61" s="222">
        <f t="shared" si="104"/>
        <v>0.44800000000000006</v>
      </c>
      <c r="G61" s="222"/>
      <c r="H61" s="222">
        <f t="shared" si="60"/>
        <v>5.3760000000000012</v>
      </c>
      <c r="I61" s="556">
        <f t="shared" si="61"/>
        <v>13.5</v>
      </c>
      <c r="J61" s="177">
        <f t="shared" si="62"/>
        <v>12.25</v>
      </c>
      <c r="K61" s="452">
        <f t="shared" si="63"/>
        <v>25.75</v>
      </c>
      <c r="L61" s="452"/>
      <c r="M61" s="222">
        <f t="shared" si="64"/>
        <v>0.47572815533980584</v>
      </c>
      <c r="N61" s="177">
        <f t="shared" si="5"/>
        <v>12.507487864077669</v>
      </c>
      <c r="O61" s="177">
        <f t="shared" si="45"/>
        <v>5.3760000000000012</v>
      </c>
      <c r="P61" s="222">
        <f t="shared" si="65"/>
        <v>1.0422906553398057</v>
      </c>
      <c r="Q61" s="222">
        <f t="shared" si="66"/>
        <v>12</v>
      </c>
      <c r="R61" s="222">
        <f t="shared" si="67"/>
        <v>1.0971480582524269</v>
      </c>
      <c r="S61" s="177">
        <f t="shared" si="68"/>
        <v>45.259985441958811</v>
      </c>
      <c r="T61" s="177">
        <f t="shared" si="69"/>
        <v>12</v>
      </c>
      <c r="U61" s="222">
        <f t="shared" si="70"/>
        <v>1.7622723475355058</v>
      </c>
      <c r="V61" s="222">
        <f t="shared" si="71"/>
        <v>0.91377084687026211</v>
      </c>
      <c r="W61" s="222">
        <f t="shared" si="72"/>
        <v>1.0070127700202889</v>
      </c>
      <c r="X61" s="202">
        <f t="shared" si="73"/>
        <v>350</v>
      </c>
      <c r="Y61" s="452">
        <f t="shared" si="46"/>
        <v>350</v>
      </c>
      <c r="AA61" s="222">
        <f t="shared" si="74"/>
        <v>2.6213592233009715</v>
      </c>
      <c r="AB61" s="178">
        <f t="shared" si="75"/>
        <v>1.4979195561719838</v>
      </c>
      <c r="AC61" s="178">
        <f t="shared" si="76"/>
        <v>0.68715241775850722</v>
      </c>
      <c r="AD61" s="178"/>
      <c r="AE61" s="178">
        <f t="shared" si="77"/>
        <v>0.46857142857142853</v>
      </c>
      <c r="AF61" s="560">
        <f>MAX(12, F61/(0.5*AE61/1000000*Isw_min*Nps)/1000)</f>
        <v>2331.94527067222</v>
      </c>
      <c r="AG61" s="543">
        <f t="shared" si="78"/>
        <v>6.723999999999998E-2</v>
      </c>
      <c r="AI61" s="178">
        <f t="shared" si="79"/>
        <v>2.171586856122548</v>
      </c>
      <c r="AJ61" s="178">
        <f t="shared" si="80"/>
        <v>2.171586856122548</v>
      </c>
      <c r="AK61" s="178">
        <f t="shared" si="81"/>
        <v>2.2011754489796651</v>
      </c>
      <c r="AM61" s="560">
        <f t="shared" si="82"/>
        <v>448.00000000000006</v>
      </c>
      <c r="AN61" s="470">
        <f t="shared" si="83"/>
        <v>350</v>
      </c>
      <c r="AP61">
        <f t="shared" si="84"/>
        <v>448.00000000000006</v>
      </c>
      <c r="AQ61" s="470">
        <f t="shared" si="85"/>
        <v>350</v>
      </c>
      <c r="AS61" s="6">
        <f t="shared" si="47"/>
        <v>2.8571428571428572</v>
      </c>
      <c r="AT61" s="6">
        <f t="shared" si="86"/>
        <v>1.1260079994709506</v>
      </c>
      <c r="AU61" s="6">
        <f t="shared" si="48"/>
        <v>1.7311348576719066</v>
      </c>
      <c r="AV61" s="6">
        <f t="shared" si="87"/>
        <v>1.2409067749271703</v>
      </c>
      <c r="AW61" s="178">
        <f t="shared" si="49"/>
        <v>0.3941027998148327</v>
      </c>
      <c r="AX61" s="178">
        <f t="shared" si="88"/>
        <v>5.7768421052631602</v>
      </c>
      <c r="AY61" s="178">
        <f t="shared" si="89"/>
        <v>0.65787919804178074</v>
      </c>
      <c r="AZ61" s="178">
        <f t="shared" si="50"/>
        <v>8.7810073984073345</v>
      </c>
      <c r="BA61" s="470">
        <f>L*Isw_max^2/(2*Vout_ripple*Vout)*1000000000*((1+M61)/2)^2</f>
        <v>22.244671714791423</v>
      </c>
      <c r="BB61" s="470">
        <f>L*F61^2/(2*Cout*Vout*Nps^2)*1000000000*((1+M61)/(1-M61))^2+F61*RCoutEsr</f>
        <v>11.212351827530188</v>
      </c>
      <c r="BC61" s="6">
        <f t="shared" si="90"/>
        <v>1.075050869377711</v>
      </c>
      <c r="BD61" s="470">
        <f>((BY61/I61/Efficiency)*AU61/Cin+(BY61/I61/Efficiency)*RCinEsr)*1000</f>
        <v>73.823477542644625</v>
      </c>
      <c r="BE61" s="6"/>
      <c r="BF61" s="178">
        <f t="shared" si="51"/>
        <v>0.78708445860154552</v>
      </c>
      <c r="BG61" s="178">
        <f t="shared" si="91"/>
        <v>0.97592411569205306</v>
      </c>
      <c r="BH61" s="178"/>
      <c r="BI61" s="543">
        <f t="shared" si="92"/>
        <v>6.8145213946929684E-2</v>
      </c>
      <c r="BJ61" s="543">
        <f t="shared" si="93"/>
        <v>9.7857132704022326E-2</v>
      </c>
      <c r="BK61" s="543">
        <f t="shared" si="94"/>
        <v>1.7499999999999998E-2</v>
      </c>
      <c r="BL61" s="543">
        <f t="shared" si="95"/>
        <v>5.2216171874999995E-2</v>
      </c>
      <c r="BM61">
        <f t="shared" si="96"/>
        <v>3.9150000000000001E-3</v>
      </c>
      <c r="BN61" s="470">
        <f t="shared" si="52"/>
        <v>239.63351852595198</v>
      </c>
      <c r="BO61" s="543">
        <f t="shared" si="97"/>
        <v>0.17920000000000003</v>
      </c>
      <c r="BP61" s="543"/>
      <c r="BR61" s="470">
        <f t="shared" si="54"/>
        <v>179.20000000000002</v>
      </c>
      <c r="BS61" s="543">
        <f t="shared" si="98"/>
        <v>2.4780077798883519E-2</v>
      </c>
      <c r="BT61" s="543">
        <f t="shared" si="99"/>
        <v>3.809711518357263E-2</v>
      </c>
      <c r="BU61" s="543">
        <f t="shared" si="100"/>
        <v>0</v>
      </c>
      <c r="BV61" s="543">
        <f t="shared" si="101"/>
        <v>6.1894736842105287E-2</v>
      </c>
      <c r="BW61" s="470">
        <f t="shared" si="55"/>
        <v>124.77192982456143</v>
      </c>
      <c r="BX61" s="178">
        <f t="shared" si="56"/>
        <v>0.5436054483505135</v>
      </c>
      <c r="BY61" s="6">
        <f t="shared" si="57"/>
        <v>5.3760000000000012</v>
      </c>
      <c r="BZ61" s="178">
        <f t="shared" si="58"/>
        <v>0.90816863503935252</v>
      </c>
      <c r="CA61" s="6">
        <f t="shared" si="59"/>
        <v>90.816863503935252</v>
      </c>
      <c r="CD61" s="577">
        <f t="shared" si="102"/>
        <v>-50</v>
      </c>
      <c r="CE61">
        <f t="shared" si="103"/>
        <v>-50</v>
      </c>
    </row>
    <row r="62" spans="5:83" x14ac:dyDescent="0.2">
      <c r="E62" s="175">
        <v>57</v>
      </c>
      <c r="F62" s="222">
        <f t="shared" si="104"/>
        <v>0.45599999999999996</v>
      </c>
      <c r="G62" s="222"/>
      <c r="H62" s="222">
        <f t="shared" si="60"/>
        <v>5.4719999999999995</v>
      </c>
      <c r="I62" s="556">
        <f t="shared" si="61"/>
        <v>13.5</v>
      </c>
      <c r="J62" s="177">
        <f t="shared" si="62"/>
        <v>12.25</v>
      </c>
      <c r="K62" s="452">
        <f t="shared" si="63"/>
        <v>25.75</v>
      </c>
      <c r="L62" s="452"/>
      <c r="M62" s="222">
        <f t="shared" si="64"/>
        <v>0.47572815533980584</v>
      </c>
      <c r="N62" s="177">
        <f t="shared" si="5"/>
        <v>12.507487864077669</v>
      </c>
      <c r="O62" s="177">
        <f t="shared" si="45"/>
        <v>5.4719999999999995</v>
      </c>
      <c r="P62" s="222">
        <f t="shared" si="65"/>
        <v>1.0422906553398057</v>
      </c>
      <c r="Q62" s="222">
        <f t="shared" si="66"/>
        <v>12</v>
      </c>
      <c r="R62" s="222">
        <f t="shared" si="67"/>
        <v>1.0971480582524269</v>
      </c>
      <c r="S62" s="177">
        <f t="shared" si="68"/>
        <v>44.232123176884549</v>
      </c>
      <c r="T62" s="177">
        <f t="shared" si="69"/>
        <v>12</v>
      </c>
      <c r="U62" s="222">
        <f t="shared" si="70"/>
        <v>1.7937414965986394</v>
      </c>
      <c r="V62" s="222">
        <f t="shared" si="71"/>
        <v>0.93008818342151678</v>
      </c>
      <c r="W62" s="222">
        <f t="shared" si="72"/>
        <v>1.0249951409135081</v>
      </c>
      <c r="X62" s="202">
        <f t="shared" si="73"/>
        <v>350</v>
      </c>
      <c r="Y62" s="452">
        <f t="shared" si="46"/>
        <v>350</v>
      </c>
      <c r="AA62" s="222">
        <f t="shared" si="74"/>
        <v>2.6213592233009715</v>
      </c>
      <c r="AB62" s="178">
        <f t="shared" si="75"/>
        <v>1.4979195561719838</v>
      </c>
      <c r="AC62" s="178">
        <f t="shared" si="76"/>
        <v>0.68715241775850722</v>
      </c>
      <c r="AD62" s="178"/>
      <c r="AE62" s="178">
        <f t="shared" si="77"/>
        <v>0.46857142857142853</v>
      </c>
      <c r="AF62" s="560">
        <f>MAX(12, F62/(0.5*AE62/1000000*Isw_min*Nps)/1000)</f>
        <v>2373.5871505056516</v>
      </c>
      <c r="AG62" s="543">
        <f t="shared" si="78"/>
        <v>6.723999999999998E-2</v>
      </c>
      <c r="AI62" s="178">
        <f t="shared" si="79"/>
        <v>2.1908902300206643</v>
      </c>
      <c r="AJ62" s="178">
        <f t="shared" si="80"/>
        <v>2.1908902300206643</v>
      </c>
      <c r="AK62" s="178">
        <f t="shared" si="81"/>
        <v>2.2154742444597515</v>
      </c>
      <c r="AM62" s="560">
        <f t="shared" si="82"/>
        <v>455.99999999999994</v>
      </c>
      <c r="AN62" s="470">
        <f t="shared" si="83"/>
        <v>350</v>
      </c>
      <c r="AP62">
        <f t="shared" si="84"/>
        <v>455.99999999999994</v>
      </c>
      <c r="AQ62" s="470">
        <f t="shared" si="85"/>
        <v>350</v>
      </c>
      <c r="AS62" s="6">
        <f t="shared" si="47"/>
        <v>2.8571428571428572</v>
      </c>
      <c r="AT62" s="6">
        <f t="shared" si="86"/>
        <v>1.1360171563070112</v>
      </c>
      <c r="AU62" s="6">
        <f t="shared" si="48"/>
        <v>1.721125700835846</v>
      </c>
      <c r="AV62" s="6">
        <f t="shared" si="87"/>
        <v>1.2519372742975226</v>
      </c>
      <c r="AW62" s="178">
        <f t="shared" si="49"/>
        <v>0.39760600470745389</v>
      </c>
      <c r="AX62" s="178">
        <f t="shared" si="88"/>
        <v>5.8799999999999981</v>
      </c>
      <c r="AY62" s="178">
        <f t="shared" si="89"/>
        <v>0.65988955945477668</v>
      </c>
      <c r="AZ62" s="178">
        <f t="shared" si="50"/>
        <v>8.9105819538321764</v>
      </c>
      <c r="BA62" s="470">
        <f>L*Isw_max^2/(2*Vout_ripple*Vout)*1000000000*((1+M62)/2)^2</f>
        <v>22.244671714791423</v>
      </c>
      <c r="BB62" s="470">
        <f>L*F62^2/(2*Cout*Vout*Nps^2)*1000000000*((1+M62)/(1-M62))^2+F62*RCoutEsr</f>
        <v>11.59193976009106</v>
      </c>
      <c r="BC62" s="6">
        <f t="shared" si="90"/>
        <v>1.0879214306517939</v>
      </c>
      <c r="BD62" s="470">
        <f>((BY62/I62/Efficiency)*AU62/Cin+(BY62/I62/Efficiency)*RCinEsr)*1000</f>
        <v>74.714696568996118</v>
      </c>
      <c r="BE62" s="6"/>
      <c r="BF62" s="178">
        <f t="shared" si="51"/>
        <v>0.79760241193963688</v>
      </c>
      <c r="BG62" s="178">
        <f t="shared" si="91"/>
        <v>0.98174864016614438</v>
      </c>
      <c r="BH62" s="178"/>
      <c r="BI62" s="543">
        <f t="shared" si="92"/>
        <v>6.9978656828511884E-2</v>
      </c>
      <c r="BJ62" s="543">
        <f t="shared" si="93"/>
        <v>9.8726990990306185E-2</v>
      </c>
      <c r="BK62" s="543">
        <f t="shared" si="94"/>
        <v>1.7499999999999998E-2</v>
      </c>
      <c r="BL62" s="543">
        <f t="shared" si="95"/>
        <v>5.2216171874999995E-2</v>
      </c>
      <c r="BM62">
        <f t="shared" si="96"/>
        <v>3.9150000000000001E-3</v>
      </c>
      <c r="BN62" s="470">
        <f t="shared" si="52"/>
        <v>242.33681969381806</v>
      </c>
      <c r="BO62" s="543">
        <f t="shared" si="97"/>
        <v>0.18240000000000001</v>
      </c>
      <c r="BP62" s="543"/>
      <c r="BR62" s="470">
        <f t="shared" si="54"/>
        <v>182.4</v>
      </c>
      <c r="BS62" s="543">
        <f t="shared" si="98"/>
        <v>2.5446784301277049E-2</v>
      </c>
      <c r="BT62" s="543">
        <f t="shared" si="99"/>
        <v>3.8553215698722949E-2</v>
      </c>
      <c r="BU62" s="543">
        <f t="shared" si="100"/>
        <v>0</v>
      </c>
      <c r="BV62" s="543">
        <f t="shared" si="101"/>
        <v>6.2999999999999987E-2</v>
      </c>
      <c r="BW62" s="470">
        <f t="shared" si="55"/>
        <v>127</v>
      </c>
      <c r="BX62" s="178">
        <f t="shared" si="56"/>
        <v>0.55173681969381805</v>
      </c>
      <c r="BY62" s="6">
        <f t="shared" si="57"/>
        <v>5.4719999999999995</v>
      </c>
      <c r="BZ62" s="178">
        <f t="shared" si="58"/>
        <v>0.90840622088767453</v>
      </c>
      <c r="CA62" s="6">
        <f t="shared" si="59"/>
        <v>90.840622088767446</v>
      </c>
      <c r="CD62" s="577">
        <f t="shared" si="102"/>
        <v>-50</v>
      </c>
      <c r="CE62">
        <f t="shared" si="103"/>
        <v>-50</v>
      </c>
    </row>
    <row r="63" spans="5:83" x14ac:dyDescent="0.2">
      <c r="E63" s="175">
        <v>58</v>
      </c>
      <c r="F63" s="222">
        <f t="shared" si="104"/>
        <v>0.46399999999999997</v>
      </c>
      <c r="G63" s="222"/>
      <c r="H63" s="222">
        <f t="shared" si="60"/>
        <v>5.5679999999999996</v>
      </c>
      <c r="I63" s="556">
        <f t="shared" si="61"/>
        <v>13.5</v>
      </c>
      <c r="J63" s="177">
        <f t="shared" si="62"/>
        <v>12.25</v>
      </c>
      <c r="K63" s="452">
        <f t="shared" si="63"/>
        <v>25.75</v>
      </c>
      <c r="L63" s="452"/>
      <c r="M63" s="222">
        <f t="shared" si="64"/>
        <v>0.47572815533980584</v>
      </c>
      <c r="N63" s="177">
        <f t="shared" si="5"/>
        <v>12.507487864077669</v>
      </c>
      <c r="O63" s="177">
        <f t="shared" si="45"/>
        <v>5.5679999999999996</v>
      </c>
      <c r="P63" s="222">
        <f t="shared" si="65"/>
        <v>1.0422906553398057</v>
      </c>
      <c r="Q63" s="222">
        <f t="shared" si="66"/>
        <v>12</v>
      </c>
      <c r="R63" s="222">
        <f t="shared" si="67"/>
        <v>1.0971480582524269</v>
      </c>
      <c r="S63" s="177">
        <f t="shared" si="68"/>
        <v>43.239781161545039</v>
      </c>
      <c r="T63" s="177">
        <f t="shared" si="69"/>
        <v>12</v>
      </c>
      <c r="U63" s="222">
        <f t="shared" si="70"/>
        <v>1.8252106456617734</v>
      </c>
      <c r="V63" s="222">
        <f t="shared" si="71"/>
        <v>0.94640551997277134</v>
      </c>
      <c r="W63" s="222">
        <f t="shared" si="72"/>
        <v>1.0429775118067275</v>
      </c>
      <c r="X63" s="202">
        <f t="shared" si="73"/>
        <v>350</v>
      </c>
      <c r="Y63" s="452">
        <f t="shared" si="46"/>
        <v>350</v>
      </c>
      <c r="AA63" s="222">
        <f t="shared" si="74"/>
        <v>2.6213592233009715</v>
      </c>
      <c r="AB63" s="178">
        <f t="shared" si="75"/>
        <v>1.4979195561719838</v>
      </c>
      <c r="AC63" s="178">
        <f t="shared" si="76"/>
        <v>0.68715241775850722</v>
      </c>
      <c r="AD63" s="178"/>
      <c r="AE63" s="178">
        <f t="shared" si="77"/>
        <v>0.46857142857142853</v>
      </c>
      <c r="AF63" s="560">
        <f>MAX(12, F63/(0.5*AE63/1000000*Isw_min*Nps)/1000)</f>
        <v>2415.2290303390841</v>
      </c>
      <c r="AG63" s="543">
        <f t="shared" si="78"/>
        <v>6.723999999999998E-2</v>
      </c>
      <c r="AI63" s="178">
        <f t="shared" si="79"/>
        <v>2.2100250058123301</v>
      </c>
      <c r="AJ63" s="178">
        <f t="shared" si="80"/>
        <v>2.2100250058123301</v>
      </c>
      <c r="AK63" s="178">
        <f t="shared" si="81"/>
        <v>2.2296481524535778</v>
      </c>
      <c r="AM63" s="560">
        <f t="shared" si="82"/>
        <v>463.99999999999994</v>
      </c>
      <c r="AN63" s="470">
        <f t="shared" si="83"/>
        <v>350</v>
      </c>
      <c r="AP63">
        <f t="shared" si="84"/>
        <v>463.99999999999994</v>
      </c>
      <c r="AQ63" s="470">
        <f t="shared" si="85"/>
        <v>350</v>
      </c>
      <c r="AS63" s="6">
        <f t="shared" si="47"/>
        <v>2.8571428571428572</v>
      </c>
      <c r="AT63" s="6">
        <f t="shared" si="86"/>
        <v>1.1459388919026896</v>
      </c>
      <c r="AU63" s="6">
        <f t="shared" si="48"/>
        <v>1.7112039652401676</v>
      </c>
      <c r="AV63" s="6">
        <f t="shared" si="87"/>
        <v>1.2628714318927601</v>
      </c>
      <c r="AW63" s="178">
        <f t="shared" si="49"/>
        <v>0.40107861216594137</v>
      </c>
      <c r="AX63" s="178">
        <f t="shared" si="88"/>
        <v>5.9831578947368431</v>
      </c>
      <c r="AY63" s="178">
        <f t="shared" si="89"/>
        <v>0.66181562181454712</v>
      </c>
      <c r="AZ63" s="178">
        <f t="shared" si="50"/>
        <v>9.0405207999357771</v>
      </c>
      <c r="BA63" s="470">
        <f>L*Isw_max^2/(2*Vout_ripple*Vout)*1000000000*((1+M63)/2)^2</f>
        <v>22.244671714791423</v>
      </c>
      <c r="BB63" s="470">
        <f>L*F63^2/(2*Cout*Vout*Nps^2)*1000000000*((1+M63)/(1-M63))^2+F63*RCoutEsr</f>
        <v>11.977821284378678</v>
      </c>
      <c r="BC63" s="6">
        <f t="shared" si="90"/>
        <v>1.1006262281085557</v>
      </c>
      <c r="BD63" s="470">
        <f>((BY63/I63/Efficiency)*AU63/Cin+(BY63/I63/Efficiency)*RCinEsr)*1000</f>
        <v>75.594726537678369</v>
      </c>
      <c r="BE63" s="6"/>
      <c r="BF63" s="178">
        <f t="shared" si="51"/>
        <v>0.80807433227004122</v>
      </c>
      <c r="BG63" s="178">
        <f t="shared" si="91"/>
        <v>0.9874644545323763</v>
      </c>
      <c r="BH63" s="178"/>
      <c r="BI63" s="543">
        <f t="shared" si="92"/>
        <v>7.1828253912104026E-2</v>
      </c>
      <c r="BJ63" s="543">
        <f t="shared" si="93"/>
        <v>9.9589251824418135E-2</v>
      </c>
      <c r="BK63" s="543">
        <f t="shared" si="94"/>
        <v>1.7499999999999998E-2</v>
      </c>
      <c r="BL63" s="543">
        <f t="shared" si="95"/>
        <v>5.2216171874999995E-2</v>
      </c>
      <c r="BM63">
        <f t="shared" si="96"/>
        <v>3.9150000000000001E-3</v>
      </c>
      <c r="BN63" s="470">
        <f t="shared" si="52"/>
        <v>245.04867761152212</v>
      </c>
      <c r="BO63" s="543">
        <f t="shared" si="97"/>
        <v>0.18559999999999999</v>
      </c>
      <c r="BP63" s="543"/>
      <c r="BR63" s="470">
        <f t="shared" si="54"/>
        <v>185.6</v>
      </c>
      <c r="BS63" s="543">
        <f t="shared" si="98"/>
        <v>2.6119365058946919E-2</v>
      </c>
      <c r="BT63" s="543">
        <f t="shared" si="99"/>
        <v>3.9003441958596938E-2</v>
      </c>
      <c r="BU63" s="543">
        <f t="shared" si="100"/>
        <v>0</v>
      </c>
      <c r="BV63" s="543">
        <f t="shared" si="101"/>
        <v>6.4105263157894748E-2</v>
      </c>
      <c r="BW63" s="470">
        <f t="shared" si="55"/>
        <v>129.2280701754386</v>
      </c>
      <c r="BX63" s="178">
        <f t="shared" si="56"/>
        <v>0.55987674778696073</v>
      </c>
      <c r="BY63" s="6">
        <f t="shared" si="57"/>
        <v>5.5679999999999996</v>
      </c>
      <c r="BZ63" s="178">
        <f t="shared" si="58"/>
        <v>0.90863446331730546</v>
      </c>
      <c r="CA63" s="6">
        <f t="shared" si="59"/>
        <v>90.863446331730543</v>
      </c>
      <c r="CD63" s="577">
        <f t="shared" si="102"/>
        <v>-50</v>
      </c>
      <c r="CE63">
        <f t="shared" si="103"/>
        <v>-50</v>
      </c>
    </row>
    <row r="64" spans="5:83" x14ac:dyDescent="0.2">
      <c r="E64" s="175">
        <v>59</v>
      </c>
      <c r="F64" s="222">
        <f t="shared" si="104"/>
        <v>0.47199999999999998</v>
      </c>
      <c r="G64" s="222"/>
      <c r="H64" s="222">
        <f t="shared" si="60"/>
        <v>5.6639999999999997</v>
      </c>
      <c r="I64" s="556">
        <f t="shared" si="61"/>
        <v>13.5</v>
      </c>
      <c r="J64" s="177">
        <f t="shared" si="62"/>
        <v>12.25</v>
      </c>
      <c r="K64" s="452">
        <f t="shared" si="63"/>
        <v>25.75</v>
      </c>
      <c r="L64" s="452"/>
      <c r="M64" s="222">
        <f t="shared" si="64"/>
        <v>0.47572815533980584</v>
      </c>
      <c r="N64" s="177">
        <f t="shared" si="5"/>
        <v>12.507487864077669</v>
      </c>
      <c r="O64" s="177">
        <f t="shared" si="45"/>
        <v>5.6639999999999997</v>
      </c>
      <c r="P64" s="222">
        <f t="shared" si="65"/>
        <v>1.0422906553398057</v>
      </c>
      <c r="Q64" s="222">
        <f t="shared" si="66"/>
        <v>12</v>
      </c>
      <c r="R64" s="222">
        <f t="shared" si="67"/>
        <v>1.0971480582524269</v>
      </c>
      <c r="S64" s="177">
        <f t="shared" si="68"/>
        <v>42.281154442351799</v>
      </c>
      <c r="T64" s="177">
        <f t="shared" si="69"/>
        <v>12</v>
      </c>
      <c r="U64" s="222">
        <f t="shared" si="70"/>
        <v>1.8566797947249074</v>
      </c>
      <c r="V64" s="222">
        <f t="shared" si="71"/>
        <v>0.962722856524026</v>
      </c>
      <c r="W64" s="222">
        <f t="shared" si="72"/>
        <v>1.0609598826999469</v>
      </c>
      <c r="X64" s="202">
        <f t="shared" si="73"/>
        <v>350</v>
      </c>
      <c r="Y64" s="452">
        <f t="shared" si="46"/>
        <v>350</v>
      </c>
      <c r="AA64" s="222">
        <f t="shared" si="74"/>
        <v>2.6213592233009715</v>
      </c>
      <c r="AB64" s="178">
        <f t="shared" si="75"/>
        <v>1.4979195561719838</v>
      </c>
      <c r="AC64" s="178">
        <f t="shared" si="76"/>
        <v>0.68715241775850722</v>
      </c>
      <c r="AD64" s="178"/>
      <c r="AE64" s="178">
        <f t="shared" si="77"/>
        <v>0.46857142857142853</v>
      </c>
      <c r="AF64" s="560">
        <f>MAX(12, F64/(0.5*AE64/1000000*Isw_min*Nps)/1000)</f>
        <v>2456.8709101725171</v>
      </c>
      <c r="AG64" s="543">
        <f t="shared" si="78"/>
        <v>6.723999999999998E-2</v>
      </c>
      <c r="AI64" s="178">
        <f t="shared" si="79"/>
        <v>2.2289955254848719</v>
      </c>
      <c r="AJ64" s="178">
        <f t="shared" si="80"/>
        <v>2.2289955254848719</v>
      </c>
      <c r="AK64" s="178">
        <f t="shared" si="81"/>
        <v>2.2437003892480534</v>
      </c>
      <c r="AM64" s="560">
        <f t="shared" si="82"/>
        <v>472</v>
      </c>
      <c r="AN64" s="470">
        <f t="shared" si="83"/>
        <v>350</v>
      </c>
      <c r="AP64">
        <f t="shared" si="84"/>
        <v>472</v>
      </c>
      <c r="AQ64" s="470">
        <f t="shared" si="85"/>
        <v>350</v>
      </c>
      <c r="AS64" s="6">
        <f t="shared" si="47"/>
        <v>2.8571428571428572</v>
      </c>
      <c r="AT64" s="6">
        <f t="shared" si="86"/>
        <v>1.1557754576588224</v>
      </c>
      <c r="AU64" s="6">
        <f t="shared" si="48"/>
        <v>1.7013673994840348</v>
      </c>
      <c r="AV64" s="6">
        <f t="shared" si="87"/>
        <v>1.2737117288484983</v>
      </c>
      <c r="AW64" s="178">
        <f t="shared" si="49"/>
        <v>0.40452141018058785</v>
      </c>
      <c r="AX64" s="178">
        <f t="shared" si="88"/>
        <v>6.0863157894736863</v>
      </c>
      <c r="AY64" s="178">
        <f t="shared" si="89"/>
        <v>0.66365955611475558</v>
      </c>
      <c r="AZ64" s="178">
        <f t="shared" si="50"/>
        <v>9.1708402800746853</v>
      </c>
      <c r="BA64" s="470">
        <f>L*Isw_max^2/(2*Vout_ripple*Vout)*1000000000*((1+M64)/2)^2</f>
        <v>22.244671714791423</v>
      </c>
      <c r="BB64" s="470">
        <f>L*F64^2/(2*Cout*Vout*Nps^2)*1000000000*((1+M64)/(1-M64))^2+F64*RCoutEsr</f>
        <v>12.369996400393038</v>
      </c>
      <c r="BC64" s="6">
        <f t="shared" si="90"/>
        <v>1.113166697067657</v>
      </c>
      <c r="BD64" s="470">
        <f>((BY64/I64/Efficiency)*AU64/Cin+(BY64/I64/Efficiency)*RCinEsr)*1000</f>
        <v>76.463664332768602</v>
      </c>
      <c r="BE64" s="6"/>
      <c r="BF64" s="178">
        <f t="shared" si="51"/>
        <v>0.81850120964713058</v>
      </c>
      <c r="BG64" s="178">
        <f t="shared" si="91"/>
        <v>0.99307407613096899</v>
      </c>
      <c r="BH64" s="178"/>
      <c r="BI64" s="543">
        <f t="shared" si="92"/>
        <v>7.369386532131976E-2</v>
      </c>
      <c r="BJ64" s="543">
        <f t="shared" si="93"/>
        <v>0.10044411086716203</v>
      </c>
      <c r="BK64" s="543">
        <f t="shared" si="94"/>
        <v>1.7499999999999998E-2</v>
      </c>
      <c r="BL64" s="543">
        <f t="shared" si="95"/>
        <v>5.2216171874999995E-2</v>
      </c>
      <c r="BM64">
        <f t="shared" si="96"/>
        <v>3.9150000000000001E-3</v>
      </c>
      <c r="BN64" s="470">
        <f t="shared" si="52"/>
        <v>247.76914806348177</v>
      </c>
      <c r="BO64" s="543">
        <f t="shared" si="97"/>
        <v>0.1888</v>
      </c>
      <c r="BP64" s="543"/>
      <c r="BR64" s="470">
        <f t="shared" si="54"/>
        <v>188.79999999999998</v>
      </c>
      <c r="BS64" s="543">
        <f t="shared" si="98"/>
        <v>2.6797769207752641E-2</v>
      </c>
      <c r="BT64" s="543">
        <f t="shared" si="99"/>
        <v>3.9447844827335106E-2</v>
      </c>
      <c r="BU64" s="543">
        <f t="shared" si="100"/>
        <v>0</v>
      </c>
      <c r="BV64" s="543">
        <f t="shared" si="101"/>
        <v>6.5210526315789497E-2</v>
      </c>
      <c r="BW64" s="470">
        <f t="shared" si="55"/>
        <v>131.45614035087723</v>
      </c>
      <c r="BX64" s="178">
        <f t="shared" si="56"/>
        <v>0.56802528841435906</v>
      </c>
      <c r="BY64" s="6">
        <f t="shared" si="57"/>
        <v>5.6639999999999997</v>
      </c>
      <c r="BZ64" s="178">
        <f t="shared" si="58"/>
        <v>0.90885382165082895</v>
      </c>
      <c r="CA64" s="6">
        <f t="shared" si="59"/>
        <v>90.885382165082902</v>
      </c>
      <c r="CD64" s="577">
        <f t="shared" si="102"/>
        <v>-50</v>
      </c>
      <c r="CE64">
        <f t="shared" si="103"/>
        <v>-50</v>
      </c>
    </row>
    <row r="65" spans="5:83" x14ac:dyDescent="0.2">
      <c r="E65" s="175">
        <v>60</v>
      </c>
      <c r="F65" s="222">
        <f t="shared" si="104"/>
        <v>0.48</v>
      </c>
      <c r="G65" s="222"/>
      <c r="H65" s="222">
        <f t="shared" si="60"/>
        <v>5.76</v>
      </c>
      <c r="I65" s="556">
        <f t="shared" si="61"/>
        <v>13.5</v>
      </c>
      <c r="J65" s="177">
        <f t="shared" si="62"/>
        <v>12.25</v>
      </c>
      <c r="K65" s="452">
        <f t="shared" si="63"/>
        <v>25.75</v>
      </c>
      <c r="L65" s="452"/>
      <c r="M65" s="222">
        <f t="shared" si="64"/>
        <v>0.47572815533980584</v>
      </c>
      <c r="N65" s="177">
        <f t="shared" si="5"/>
        <v>12.507487864077669</v>
      </c>
      <c r="O65" s="177">
        <f t="shared" si="45"/>
        <v>5.76</v>
      </c>
      <c r="P65" s="222">
        <f t="shared" si="65"/>
        <v>1.0422906553398057</v>
      </c>
      <c r="Q65" s="222">
        <f t="shared" si="66"/>
        <v>12</v>
      </c>
      <c r="R65" s="222">
        <f t="shared" si="67"/>
        <v>1.0971480582524269</v>
      </c>
      <c r="S65" s="177">
        <f t="shared" si="68"/>
        <v>41.354558418675218</v>
      </c>
      <c r="T65" s="177">
        <f t="shared" si="69"/>
        <v>12</v>
      </c>
      <c r="U65" s="222">
        <f t="shared" si="70"/>
        <v>1.8881489437880414</v>
      </c>
      <c r="V65" s="222">
        <f t="shared" si="71"/>
        <v>0.97904019307528078</v>
      </c>
      <c r="W65" s="222">
        <f t="shared" si="72"/>
        <v>1.0789422535931663</v>
      </c>
      <c r="X65" s="202">
        <f t="shared" si="73"/>
        <v>350</v>
      </c>
      <c r="Y65" s="452">
        <f t="shared" si="46"/>
        <v>350</v>
      </c>
      <c r="AA65" s="222">
        <f t="shared" si="74"/>
        <v>2.6213592233009715</v>
      </c>
      <c r="AB65" s="178">
        <f t="shared" si="75"/>
        <v>1.4979195561719838</v>
      </c>
      <c r="AC65" s="178">
        <f t="shared" si="76"/>
        <v>0.68715241775850722</v>
      </c>
      <c r="AD65" s="178"/>
      <c r="AE65" s="178">
        <f t="shared" si="77"/>
        <v>0.46857142857142853</v>
      </c>
      <c r="AF65" s="560">
        <f>MAX(12, F65/(0.5*AE65/1000000*Isw_min*Nps)/1000)</f>
        <v>2498.5127900059492</v>
      </c>
      <c r="AG65" s="543">
        <f t="shared" si="78"/>
        <v>6.723999999999998E-2</v>
      </c>
      <c r="AI65" s="178">
        <f t="shared" si="79"/>
        <v>2.2478059477960657</v>
      </c>
      <c r="AJ65" s="178">
        <f t="shared" si="80"/>
        <v>2.2478059477960657</v>
      </c>
      <c r="AK65" s="178">
        <f t="shared" si="81"/>
        <v>2.257634035404493</v>
      </c>
      <c r="AM65" s="560">
        <f t="shared" si="82"/>
        <v>480</v>
      </c>
      <c r="AN65" s="470">
        <f t="shared" si="83"/>
        <v>350</v>
      </c>
      <c r="AP65">
        <f t="shared" si="84"/>
        <v>480</v>
      </c>
      <c r="AQ65" s="470">
        <f t="shared" si="85"/>
        <v>350</v>
      </c>
      <c r="AS65" s="6">
        <f t="shared" si="47"/>
        <v>2.8571428571428572</v>
      </c>
      <c r="AT65" s="6">
        <f t="shared" si="86"/>
        <v>1.1655290099683302</v>
      </c>
      <c r="AU65" s="6">
        <f t="shared" si="48"/>
        <v>1.691613847174527</v>
      </c>
      <c r="AV65" s="6">
        <f t="shared" si="87"/>
        <v>1.2844605415977517</v>
      </c>
      <c r="AW65" s="178">
        <f t="shared" si="49"/>
        <v>0.40793515348891557</v>
      </c>
      <c r="AX65" s="178">
        <f t="shared" si="88"/>
        <v>6.1894736842105269</v>
      </c>
      <c r="AY65" s="178">
        <f t="shared" si="89"/>
        <v>0.66542344173429024</v>
      </c>
      <c r="AZ65" s="178">
        <f t="shared" si="50"/>
        <v>9.3015564165862994</v>
      </c>
      <c r="BA65" s="470">
        <f>L*Isw_max^2/(2*Vout_ripple*Vout)*1000000000*((1+M65)/2)^2</f>
        <v>22.244671714791423</v>
      </c>
      <c r="BB65" s="470">
        <f>L*F65^2/(2*Cout*Vout*Nps^2)*1000000000*((1+M65)/(1-M65))^2+F65*RCoutEsr</f>
        <v>12.768465108134139</v>
      </c>
      <c r="BC65" s="6">
        <f t="shared" si="90"/>
        <v>1.1255442361966963</v>
      </c>
      <c r="BD65" s="470">
        <f>((BY65/I65/Efficiency)*AU65/Cin+(BY65/I65/Efficiency)*RCinEsr)*1000</f>
        <v>77.32160436432963</v>
      </c>
      <c r="BE65" s="6"/>
      <c r="BF65" s="178">
        <f t="shared" si="51"/>
        <v>0.82888399644357891</v>
      </c>
      <c r="BG65" s="178">
        <f t="shared" si="91"/>
        <v>0.99857991505713306</v>
      </c>
      <c r="BH65" s="178"/>
      <c r="BI65" s="543">
        <f t="shared" si="92"/>
        <v>7.5575354751630686E-2</v>
      </c>
      <c r="BJ65" s="543">
        <f t="shared" si="93"/>
        <v>0.10129175552256021</v>
      </c>
      <c r="BK65" s="543">
        <f t="shared" si="94"/>
        <v>1.7499999999999998E-2</v>
      </c>
      <c r="BL65" s="543">
        <f t="shared" si="95"/>
        <v>5.2216171874999995E-2</v>
      </c>
      <c r="BM65">
        <f t="shared" si="96"/>
        <v>3.9150000000000001E-3</v>
      </c>
      <c r="BN65" s="470">
        <f t="shared" si="52"/>
        <v>250.49828214919086</v>
      </c>
      <c r="BO65" s="543">
        <f t="shared" si="97"/>
        <v>0.192</v>
      </c>
      <c r="BP65" s="543"/>
      <c r="BR65" s="470">
        <f t="shared" si="54"/>
        <v>192</v>
      </c>
      <c r="BS65" s="543">
        <f t="shared" si="98"/>
        <v>2.7481947182411159E-2</v>
      </c>
      <c r="BT65" s="543">
        <f t="shared" si="99"/>
        <v>3.9886473870220443E-2</v>
      </c>
      <c r="BU65" s="543">
        <f t="shared" si="100"/>
        <v>0</v>
      </c>
      <c r="BV65" s="543">
        <f t="shared" si="101"/>
        <v>6.6315789473684231E-2</v>
      </c>
      <c r="BW65" s="470">
        <f t="shared" si="55"/>
        <v>133.68421052631584</v>
      </c>
      <c r="BX65" s="178">
        <f t="shared" si="56"/>
        <v>0.5761824926755067</v>
      </c>
      <c r="BY65" s="6">
        <f t="shared" si="57"/>
        <v>5.76</v>
      </c>
      <c r="BZ65" s="178">
        <f t="shared" si="58"/>
        <v>0.90906472574905128</v>
      </c>
      <c r="CA65" s="6">
        <f t="shared" si="59"/>
        <v>90.906472574905123</v>
      </c>
      <c r="CD65" s="577">
        <f t="shared" si="102"/>
        <v>-50</v>
      </c>
      <c r="CE65">
        <f t="shared" si="103"/>
        <v>-50</v>
      </c>
    </row>
    <row r="66" spans="5:83" x14ac:dyDescent="0.2">
      <c r="E66" s="175">
        <v>61</v>
      </c>
      <c r="F66" s="222">
        <f t="shared" si="104"/>
        <v>0.48799999999999999</v>
      </c>
      <c r="G66" s="222"/>
      <c r="H66" s="222">
        <f t="shared" si="60"/>
        <v>5.8559999999999999</v>
      </c>
      <c r="I66" s="556">
        <f t="shared" si="61"/>
        <v>13.5</v>
      </c>
      <c r="J66" s="177">
        <f t="shared" si="62"/>
        <v>12.25</v>
      </c>
      <c r="K66" s="452">
        <f t="shared" si="63"/>
        <v>25.75</v>
      </c>
      <c r="L66" s="452"/>
      <c r="M66" s="222">
        <f t="shared" si="64"/>
        <v>0.47572815533980584</v>
      </c>
      <c r="N66" s="177">
        <f t="shared" si="5"/>
        <v>12.507487864077669</v>
      </c>
      <c r="O66" s="177">
        <f t="shared" si="45"/>
        <v>5.8559999999999999</v>
      </c>
      <c r="P66" s="222">
        <f t="shared" si="65"/>
        <v>1.0422906553398057</v>
      </c>
      <c r="Q66" s="222">
        <f t="shared" si="66"/>
        <v>12</v>
      </c>
      <c r="R66" s="222">
        <f t="shared" si="67"/>
        <v>1.0971480582524269</v>
      </c>
      <c r="S66" s="177">
        <f t="shared" si="68"/>
        <v>40.458418978384792</v>
      </c>
      <c r="T66" s="177">
        <f t="shared" si="69"/>
        <v>12</v>
      </c>
      <c r="U66" s="222">
        <f t="shared" si="70"/>
        <v>1.9196180928511755</v>
      </c>
      <c r="V66" s="222">
        <f t="shared" si="71"/>
        <v>0.99535752962653545</v>
      </c>
      <c r="W66" s="222">
        <f t="shared" si="72"/>
        <v>1.0969246244863859</v>
      </c>
      <c r="X66" s="202">
        <f t="shared" si="73"/>
        <v>350</v>
      </c>
      <c r="Y66" s="452">
        <f t="shared" si="46"/>
        <v>350</v>
      </c>
      <c r="AA66" s="222">
        <f t="shared" si="74"/>
        <v>2.6213592233009715</v>
      </c>
      <c r="AB66" s="178">
        <f t="shared" si="75"/>
        <v>1.4979195561719838</v>
      </c>
      <c r="AC66" s="178">
        <f t="shared" si="76"/>
        <v>0.68715241775850722</v>
      </c>
      <c r="AD66" s="178"/>
      <c r="AE66" s="178">
        <f t="shared" si="77"/>
        <v>0.46857142857142853</v>
      </c>
      <c r="AF66" s="560">
        <f>MAX(12, F66/(0.5*AE66/1000000*Isw_min*Nps)/1000)</f>
        <v>2540.1546698393818</v>
      </c>
      <c r="AG66" s="543">
        <f t="shared" si="78"/>
        <v>6.723999999999998E-2</v>
      </c>
      <c r="AI66" s="178">
        <f t="shared" si="79"/>
        <v>2.2664602589198775</v>
      </c>
      <c r="AJ66" s="178">
        <f t="shared" si="80"/>
        <v>2.2664602589198775</v>
      </c>
      <c r="AK66" s="178">
        <f t="shared" si="81"/>
        <v>2.2714520436443539</v>
      </c>
      <c r="AM66" s="560">
        <f t="shared" si="82"/>
        <v>488</v>
      </c>
      <c r="AN66" s="470">
        <f t="shared" si="83"/>
        <v>350</v>
      </c>
      <c r="AP66">
        <f t="shared" si="84"/>
        <v>488</v>
      </c>
      <c r="AQ66" s="470">
        <f t="shared" si="85"/>
        <v>350</v>
      </c>
      <c r="AS66" s="6">
        <f t="shared" si="47"/>
        <v>2.8571428571428572</v>
      </c>
      <c r="AT66" s="6">
        <f t="shared" si="86"/>
        <v>1.1752016157362328</v>
      </c>
      <c r="AU66" s="6">
        <f t="shared" si="48"/>
        <v>1.6819412414066244</v>
      </c>
      <c r="AV66" s="6">
        <f t="shared" si="87"/>
        <v>1.2951201479542156</v>
      </c>
      <c r="AW66" s="178">
        <f t="shared" si="49"/>
        <v>0.41132056550768148</v>
      </c>
      <c r="AX66" s="178">
        <f t="shared" si="88"/>
        <v>6.2926315789473684</v>
      </c>
      <c r="AY66" s="178">
        <f t="shared" si="89"/>
        <v>0.66710927176013368</v>
      </c>
      <c r="AZ66" s="178">
        <f t="shared" si="50"/>
        <v>9.4326849368238914</v>
      </c>
      <c r="BA66" s="470">
        <f>L*Isw_max^2/(2*Vout_ripple*Vout)*1000000000*((1+M66)/2)^2</f>
        <v>22.244671714791423</v>
      </c>
      <c r="BB66" s="470">
        <f>L*F66^2/(2*Cout*Vout*Nps^2)*1000000000*((1+M66)/(1-M66))^2+F66*RCoutEsr</f>
        <v>13.173227407601981</v>
      </c>
      <c r="BC66" s="6">
        <f t="shared" si="90"/>
        <v>1.1377602090450876</v>
      </c>
      <c r="BD66" s="470">
        <f>((BY66/I66/Efficiency)*AU66/Cin+(BY66/I66/Efficiency)*RCinEsr)*1000</f>
        <v>78.168638671946923</v>
      </c>
      <c r="BE66" s="6"/>
      <c r="BF66" s="178">
        <f t="shared" si="51"/>
        <v>0.83922360938757179</v>
      </c>
      <c r="BG66" s="178">
        <f t="shared" si="91"/>
        <v>1.0039842803554657</v>
      </c>
      <c r="BH66" s="178"/>
      <c r="BI66" s="543">
        <f t="shared" si="92"/>
        <v>7.7472589320885396E-2</v>
      </c>
      <c r="BJ66" s="543">
        <f t="shared" si="93"/>
        <v>0.10213236541757699</v>
      </c>
      <c r="BK66" s="543">
        <f t="shared" si="94"/>
        <v>1.7499999999999998E-2</v>
      </c>
      <c r="BL66" s="543">
        <f t="shared" si="95"/>
        <v>5.2216171874999995E-2</v>
      </c>
      <c r="BM66">
        <f t="shared" si="96"/>
        <v>3.9150000000000001E-3</v>
      </c>
      <c r="BN66" s="470">
        <f t="shared" si="52"/>
        <v>253.23612661346235</v>
      </c>
      <c r="BO66" s="543">
        <f t="shared" si="97"/>
        <v>0.19520000000000001</v>
      </c>
      <c r="BP66" s="543"/>
      <c r="BR66" s="470">
        <f t="shared" si="54"/>
        <v>195.20000000000002</v>
      </c>
      <c r="BS66" s="543">
        <f t="shared" si="98"/>
        <v>2.8171850662140147E-2</v>
      </c>
      <c r="BT66" s="543">
        <f t="shared" si="99"/>
        <v>4.0319377408035297E-2</v>
      </c>
      <c r="BU66" s="543">
        <f t="shared" si="100"/>
        <v>0</v>
      </c>
      <c r="BV66" s="543">
        <f t="shared" si="101"/>
        <v>6.7421052631578965E-2</v>
      </c>
      <c r="BW66" s="470">
        <f t="shared" si="55"/>
        <v>135.91228070175441</v>
      </c>
      <c r="BX66" s="178">
        <f t="shared" si="56"/>
        <v>0.58434840731521664</v>
      </c>
      <c r="BY66" s="6">
        <f t="shared" si="57"/>
        <v>5.8559999999999999</v>
      </c>
      <c r="BZ66" s="178">
        <f t="shared" si="58"/>
        <v>0.90926757834226957</v>
      </c>
      <c r="CA66" s="6">
        <f t="shared" si="59"/>
        <v>90.926757834226962</v>
      </c>
      <c r="CD66" s="577">
        <f t="shared" si="102"/>
        <v>-50</v>
      </c>
      <c r="CE66">
        <f t="shared" si="103"/>
        <v>-50</v>
      </c>
    </row>
    <row r="67" spans="5:83" x14ac:dyDescent="0.2">
      <c r="E67" s="175">
        <v>62</v>
      </c>
      <c r="F67" s="222">
        <f t="shared" si="104"/>
        <v>0.496</v>
      </c>
      <c r="G67" s="222"/>
      <c r="H67" s="222">
        <f t="shared" si="60"/>
        <v>5.952</v>
      </c>
      <c r="I67" s="556">
        <f t="shared" si="61"/>
        <v>13.5</v>
      </c>
      <c r="J67" s="177">
        <f t="shared" si="62"/>
        <v>12.25</v>
      </c>
      <c r="K67" s="452">
        <f t="shared" si="63"/>
        <v>25.75</v>
      </c>
      <c r="L67" s="452"/>
      <c r="M67" s="222">
        <f t="shared" si="64"/>
        <v>0.47572815533980584</v>
      </c>
      <c r="N67" s="177">
        <f t="shared" si="5"/>
        <v>12.507487864077669</v>
      </c>
      <c r="O67" s="177">
        <f t="shared" si="45"/>
        <v>5.952</v>
      </c>
      <c r="P67" s="222">
        <f t="shared" si="65"/>
        <v>1.0422906553398057</v>
      </c>
      <c r="Q67" s="222">
        <f t="shared" si="66"/>
        <v>12</v>
      </c>
      <c r="R67" s="222">
        <f t="shared" si="67"/>
        <v>1.0971480582524269</v>
      </c>
      <c r="S67" s="177">
        <f t="shared" si="68"/>
        <v>39.591263588029065</v>
      </c>
      <c r="T67" s="177">
        <f t="shared" si="69"/>
        <v>12</v>
      </c>
      <c r="U67" s="222">
        <f t="shared" si="70"/>
        <v>1.9510872419143095</v>
      </c>
      <c r="V67" s="222">
        <f t="shared" si="71"/>
        <v>1.0116748661777901</v>
      </c>
      <c r="W67" s="222">
        <f t="shared" si="72"/>
        <v>1.1149069953796054</v>
      </c>
      <c r="X67" s="202">
        <f t="shared" si="73"/>
        <v>350</v>
      </c>
      <c r="Y67" s="452">
        <f t="shared" si="46"/>
        <v>350</v>
      </c>
      <c r="AA67" s="222">
        <f t="shared" si="74"/>
        <v>2.6213592233009715</v>
      </c>
      <c r="AB67" s="178">
        <f t="shared" si="75"/>
        <v>1.4979195561719838</v>
      </c>
      <c r="AC67" s="178">
        <f t="shared" si="76"/>
        <v>0.68715241775850722</v>
      </c>
      <c r="AD67" s="178"/>
      <c r="AE67" s="178">
        <f t="shared" si="77"/>
        <v>0.46857142857142853</v>
      </c>
      <c r="AF67" s="560">
        <f>MAX(12, F67/(0.5*AE67/1000000*Isw_min*Nps)/1000)</f>
        <v>2581.7965496728143</v>
      </c>
      <c r="AG67" s="543">
        <f t="shared" si="78"/>
        <v>6.723999999999998E-2</v>
      </c>
      <c r="AI67" s="178">
        <f t="shared" si="79"/>
        <v>2.2849622823099178</v>
      </c>
      <c r="AJ67" s="178">
        <f t="shared" si="80"/>
        <v>2.2849622823099178</v>
      </c>
      <c r="AK67" s="178">
        <f t="shared" si="81"/>
        <v>2.285157246155495</v>
      </c>
      <c r="AM67" s="560">
        <f t="shared" si="82"/>
        <v>496</v>
      </c>
      <c r="AN67" s="470">
        <f t="shared" si="83"/>
        <v>350</v>
      </c>
      <c r="AP67">
        <f t="shared" si="84"/>
        <v>496</v>
      </c>
      <c r="AQ67" s="470">
        <f t="shared" si="85"/>
        <v>350</v>
      </c>
      <c r="AS67" s="6">
        <f t="shared" si="47"/>
        <v>2.8571428571428572</v>
      </c>
      <c r="AT67" s="6">
        <f t="shared" si="86"/>
        <v>1.1847952574940315</v>
      </c>
      <c r="AU67" s="6">
        <f t="shared" si="48"/>
        <v>1.6723475996488257</v>
      </c>
      <c r="AV67" s="6">
        <f t="shared" si="87"/>
        <v>1.3056927327485244</v>
      </c>
      <c r="AW67" s="178">
        <f t="shared" si="49"/>
        <v>0.41467834012291099</v>
      </c>
      <c r="AX67" s="178">
        <f t="shared" si="88"/>
        <v>6.3957894736842116</v>
      </c>
      <c r="AY67" s="178">
        <f t="shared" si="89"/>
        <v>0.66871895791909131</v>
      </c>
      <c r="AZ67" s="178">
        <f t="shared" si="50"/>
        <v>9.5642412974002173</v>
      </c>
      <c r="BA67" s="470">
        <f>L*Isw_max^2/(2*Vout_ripple*Vout)*1000000000*((1+M67)/2)^2</f>
        <v>22.244671714791423</v>
      </c>
      <c r="BB67" s="470">
        <f>L*F67^2/(2*Cout*Vout*Nps^2)*1000000000*((1+M67)/(1-M67))^2+F67*RCoutEsr</f>
        <v>13.584283298796564</v>
      </c>
      <c r="BC67" s="6">
        <f t="shared" si="90"/>
        <v>1.1498159454895456</v>
      </c>
      <c r="BD67" s="470">
        <f>((BY67/I67/Efficiency)*AU67/Cin+(BY67/I67/Efficiency)*RCinEsr)*1000</f>
        <v>79.004857022298722</v>
      </c>
      <c r="BE67" s="6"/>
      <c r="BF67" s="178">
        <f t="shared" si="51"/>
        <v>0.84952093145833563</v>
      </c>
      <c r="BG67" s="178">
        <f t="shared" si="91"/>
        <v>1.0092893857596763</v>
      </c>
      <c r="BH67" s="178"/>
      <c r="BI67" s="543">
        <f t="shared" si="92"/>
        <v>7.93854394284422E-2</v>
      </c>
      <c r="BJ67" s="543">
        <f t="shared" si="93"/>
        <v>0.10296611284659067</v>
      </c>
      <c r="BK67" s="543">
        <f t="shared" si="94"/>
        <v>1.7499999999999998E-2</v>
      </c>
      <c r="BL67" s="543">
        <f t="shared" si="95"/>
        <v>5.2216171874999995E-2</v>
      </c>
      <c r="BM67">
        <f t="shared" si="96"/>
        <v>3.9150000000000001E-3</v>
      </c>
      <c r="BN67" s="470">
        <f t="shared" si="52"/>
        <v>255.98272415003288</v>
      </c>
      <c r="BO67" s="543">
        <f t="shared" si="97"/>
        <v>0.19840000000000002</v>
      </c>
      <c r="BP67" s="543"/>
      <c r="BR67" s="470">
        <f t="shared" si="54"/>
        <v>198.40000000000003</v>
      </c>
      <c r="BS67" s="543">
        <f t="shared" si="98"/>
        <v>2.8867432519433529E-2</v>
      </c>
      <c r="BT67" s="543">
        <f t="shared" si="99"/>
        <v>4.0746602568285786E-2</v>
      </c>
      <c r="BU67" s="543">
        <f t="shared" si="100"/>
        <v>0</v>
      </c>
      <c r="BV67" s="543">
        <f t="shared" si="101"/>
        <v>6.8526315789473699E-2</v>
      </c>
      <c r="BW67" s="470">
        <f t="shared" si="55"/>
        <v>138.14035087719301</v>
      </c>
      <c r="BX67" s="178">
        <f t="shared" si="56"/>
        <v>0.5925230750272259</v>
      </c>
      <c r="BY67" s="6">
        <f t="shared" si="57"/>
        <v>5.952</v>
      </c>
      <c r="BZ67" s="178">
        <f t="shared" si="58"/>
        <v>0.90946275714296243</v>
      </c>
      <c r="CA67" s="6">
        <f t="shared" si="59"/>
        <v>90.946275714296249</v>
      </c>
      <c r="CD67" s="577">
        <f t="shared" si="102"/>
        <v>-50</v>
      </c>
      <c r="CE67">
        <f t="shared" si="103"/>
        <v>-50</v>
      </c>
    </row>
    <row r="68" spans="5:83" x14ac:dyDescent="0.2">
      <c r="E68" s="175">
        <v>63</v>
      </c>
      <c r="F68" s="222">
        <f t="shared" si="104"/>
        <v>0.504</v>
      </c>
      <c r="G68" s="222"/>
      <c r="H68" s="222">
        <f t="shared" si="60"/>
        <v>6.048</v>
      </c>
      <c r="I68" s="556">
        <f t="shared" si="61"/>
        <v>13.5</v>
      </c>
      <c r="J68" s="177">
        <f t="shared" si="62"/>
        <v>12.25</v>
      </c>
      <c r="K68" s="452">
        <f t="shared" si="63"/>
        <v>25.75</v>
      </c>
      <c r="L68" s="452"/>
      <c r="M68" s="222">
        <f t="shared" si="64"/>
        <v>0.47572815533980584</v>
      </c>
      <c r="N68" s="177">
        <f t="shared" si="5"/>
        <v>12.507487864077669</v>
      </c>
      <c r="O68" s="177">
        <f t="shared" si="45"/>
        <v>6.048</v>
      </c>
      <c r="P68" s="222">
        <f t="shared" si="65"/>
        <v>1.0422906553398057</v>
      </c>
      <c r="Q68" s="222">
        <f t="shared" si="66"/>
        <v>12</v>
      </c>
      <c r="R68" s="222">
        <f t="shared" si="67"/>
        <v>1.0971480582524269</v>
      </c>
      <c r="S68" s="177">
        <f t="shared" si="68"/>
        <v>38.751713231584638</v>
      </c>
      <c r="T68" s="177">
        <f t="shared" si="69"/>
        <v>12</v>
      </c>
      <c r="U68" s="222">
        <f t="shared" si="70"/>
        <v>1.9825563909774435</v>
      </c>
      <c r="V68" s="222">
        <f t="shared" si="71"/>
        <v>1.0279922027290447</v>
      </c>
      <c r="W68" s="222">
        <f t="shared" si="72"/>
        <v>1.1328893662728248</v>
      </c>
      <c r="X68" s="202">
        <f t="shared" si="73"/>
        <v>350</v>
      </c>
      <c r="Y68" s="452">
        <f t="shared" si="46"/>
        <v>350</v>
      </c>
      <c r="AA68" s="222">
        <f t="shared" si="74"/>
        <v>2.6213592233009715</v>
      </c>
      <c r="AB68" s="178">
        <f t="shared" si="75"/>
        <v>1.4979195561719838</v>
      </c>
      <c r="AC68" s="178">
        <f t="shared" si="76"/>
        <v>0.68715241775850722</v>
      </c>
      <c r="AD68" s="178"/>
      <c r="AE68" s="178">
        <f t="shared" si="77"/>
        <v>0.46857142857142853</v>
      </c>
      <c r="AF68" s="560">
        <f>MAX(12, F68/(0.5*AE68/1000000*Isw_min*Nps)/1000)</f>
        <v>2623.4384295062468</v>
      </c>
      <c r="AG68" s="543">
        <f t="shared" si="78"/>
        <v>6.723999999999998E-2</v>
      </c>
      <c r="AI68" s="178">
        <f t="shared" si="79"/>
        <v>2.3033156878497434</v>
      </c>
      <c r="AJ68" s="178">
        <f t="shared" si="80"/>
        <v>2.3033156878497434</v>
      </c>
      <c r="AK68" s="178">
        <f t="shared" si="81"/>
        <v>2.2987523613701804</v>
      </c>
      <c r="AM68" s="560">
        <f t="shared" si="82"/>
        <v>504</v>
      </c>
      <c r="AN68" s="470">
        <f t="shared" si="83"/>
        <v>350</v>
      </c>
      <c r="AP68">
        <f t="shared" si="84"/>
        <v>504</v>
      </c>
      <c r="AQ68" s="470">
        <f t="shared" si="85"/>
        <v>350</v>
      </c>
      <c r="AS68" s="6">
        <f t="shared" si="47"/>
        <v>2.8571428571428572</v>
      </c>
      <c r="AT68" s="6">
        <f t="shared" si="86"/>
        <v>1.1943118381443112</v>
      </c>
      <c r="AU68" s="6">
        <f t="shared" si="48"/>
        <v>1.662831018998546</v>
      </c>
      <c r="AV68" s="6">
        <f t="shared" si="87"/>
        <v>1.3161803930569962</v>
      </c>
      <c r="AW68" s="178">
        <f t="shared" si="49"/>
        <v>0.41800914335050893</v>
      </c>
      <c r="AX68" s="178">
        <f t="shared" si="88"/>
        <v>6.498947368421053</v>
      </c>
      <c r="AY68" s="178">
        <f t="shared" si="89"/>
        <v>0.67025433515294208</v>
      </c>
      <c r="AZ68" s="178">
        <f t="shared" si="50"/>
        <v>9.6962407068028735</v>
      </c>
      <c r="BA68" s="470">
        <f>L*Isw_max^2/(2*Vout_ripple*Vout)*1000000000*((1+M68)/2)^2</f>
        <v>22.244671714791423</v>
      </c>
      <c r="BB68" s="470">
        <f>L*F68^2/(2*Cout*Vout*Nps^2)*1000000000*((1+M68)/(1-M68))^2+F68*RCoutEsr</f>
        <v>14.001632781717891</v>
      </c>
      <c r="BC68" s="6">
        <f t="shared" si="90"/>
        <v>1.1617127430976197</v>
      </c>
      <c r="BD68" s="470">
        <f>((BY68/I68/Efficiency)*AU68/Cin+(BY68/I68/Efficiency)*RCinEsr)*1000</f>
        <v>79.830347001194596</v>
      </c>
      <c r="BE68" s="6"/>
      <c r="BF68" s="178">
        <f t="shared" si="51"/>
        <v>0.85977681365196834</v>
      </c>
      <c r="BG68" s="178">
        <f t="shared" si="91"/>
        <v>1.0144973550177681</v>
      </c>
      <c r="BH68" s="178"/>
      <c r="BI68" s="543">
        <f t="shared" si="92"/>
        <v>8.131377862228846E-2</v>
      </c>
      <c r="BJ68" s="543">
        <f t="shared" si="93"/>
        <v>0.10379316318372907</v>
      </c>
      <c r="BK68" s="543">
        <f t="shared" si="94"/>
        <v>1.7499999999999998E-2</v>
      </c>
      <c r="BL68" s="543">
        <f t="shared" si="95"/>
        <v>5.2216171874999995E-2</v>
      </c>
      <c r="BM68">
        <f t="shared" si="96"/>
        <v>3.9150000000000001E-3</v>
      </c>
      <c r="BN68" s="470">
        <f t="shared" si="52"/>
        <v>258.73811368101752</v>
      </c>
      <c r="BO68" s="543">
        <f t="shared" si="97"/>
        <v>0.2016</v>
      </c>
      <c r="BP68" s="543"/>
      <c r="BR68" s="470">
        <f t="shared" si="54"/>
        <v>201.6</v>
      </c>
      <c r="BS68" s="543">
        <f t="shared" si="98"/>
        <v>2.9568646771741262E-2</v>
      </c>
      <c r="BT68" s="543">
        <f t="shared" si="99"/>
        <v>4.1168195333521895E-2</v>
      </c>
      <c r="BU68" s="543">
        <f t="shared" si="100"/>
        <v>0</v>
      </c>
      <c r="BV68" s="543">
        <f t="shared" si="101"/>
        <v>6.9631578947368419E-2</v>
      </c>
      <c r="BW68" s="470">
        <f t="shared" si="55"/>
        <v>140.36842105263159</v>
      </c>
      <c r="BX68" s="178">
        <f t="shared" si="56"/>
        <v>0.60070653473364899</v>
      </c>
      <c r="BY68" s="6">
        <f t="shared" si="57"/>
        <v>6.048</v>
      </c>
      <c r="BZ68" s="178">
        <f t="shared" si="58"/>
        <v>0.90965061676350345</v>
      </c>
      <c r="CA68" s="6">
        <f t="shared" si="59"/>
        <v>90.965061676350345</v>
      </c>
      <c r="CD68" s="577">
        <f t="shared" si="102"/>
        <v>-50</v>
      </c>
      <c r="CE68">
        <f t="shared" si="103"/>
        <v>-50</v>
      </c>
    </row>
    <row r="69" spans="5:83" x14ac:dyDescent="0.2">
      <c r="E69" s="175">
        <v>64</v>
      </c>
      <c r="F69" s="222">
        <f t="shared" si="104"/>
        <v>0.51200000000000001</v>
      </c>
      <c r="G69" s="222"/>
      <c r="H69" s="222">
        <f t="shared" ref="H69:H100" si="105">F69*Vout</f>
        <v>6.1440000000000001</v>
      </c>
      <c r="I69" s="556">
        <f t="shared" ref="I69:I105" si="106">Vin</f>
        <v>13.5</v>
      </c>
      <c r="J69" s="177">
        <f t="shared" ref="J69:J105" si="107">(T69+Vfwd1)*Nps</f>
        <v>12.25</v>
      </c>
      <c r="K69" s="452">
        <f t="shared" ref="K69:K105" si="108">(Vout+Vfwd1)*Nps+I69</f>
        <v>25.75</v>
      </c>
      <c r="L69" s="452"/>
      <c r="M69" s="222">
        <f t="shared" ref="M69:M105" si="109">(Vout+Vfwd1)*Nps/((Vout+Vfwd1)*Nps+I69)</f>
        <v>0.47572815533980584</v>
      </c>
      <c r="N69" s="177">
        <f t="shared" ref="N69:N105" si="110">M69*I69*Isw_max*0.5*Efficiency</f>
        <v>12.507487864077669</v>
      </c>
      <c r="O69" s="177">
        <f t="shared" si="45"/>
        <v>6.1440000000000001</v>
      </c>
      <c r="P69" s="222">
        <f t="shared" ref="P69:P100" si="111">N69/Vout</f>
        <v>1.0422906553398057</v>
      </c>
      <c r="Q69" s="222">
        <f t="shared" ref="Q69:Q105" si="112">MIN(Vout,N69/F69)</f>
        <v>12</v>
      </c>
      <c r="R69" s="222">
        <f t="shared" ref="R69:R100" si="113">Isw_max/2*I69*Nps*(Q69+Vfwd1)/Q69/(I69+Nps*(Q69+Vfwd1))</f>
        <v>1.0971480582524269</v>
      </c>
      <c r="S69" s="177">
        <f t="shared" ref="S69:S105" si="114">(SQRT(Isw_max^2*Nps^2*I69^2+4*Isw_max*F69/Efficiency*(Nps^2*Vfwd1*I69-Nps*I69^2)+4*(F69/Efficiency)^2*Nps^2*Vfwd1^2+8*(F69/Efficiency)^2*Nps*Vfwd1*I69+4*(F69/Efficiency)^2*I69^2)-2*F69/Efficiency*I69-2*F69/Efficiency*Nps*Vfwd1+Isw_max*Nps*I69)/(4*F69/Efficiency*Nps)</f>
        <v>37.938475104962563</v>
      </c>
      <c r="T69" s="177">
        <f t="shared" ref="T69:T100" si="115">MIN(Vout, S69)</f>
        <v>12</v>
      </c>
      <c r="U69" s="222">
        <f t="shared" ref="U69:U105" si="116">MIN(2*Vout*F69/(Efficiency*I69*M69), Isw_max)</f>
        <v>2.0140255400405778</v>
      </c>
      <c r="V69" s="222">
        <f t="shared" ref="V69:V100" si="117">L*U69/I69*1000000</f>
        <v>1.0443095392802997</v>
      </c>
      <c r="W69" s="222">
        <f t="shared" ref="W69:W105" si="118">L*U69/J69*1000000</f>
        <v>1.1508717371660444</v>
      </c>
      <c r="X69" s="202">
        <f t="shared" ref="X69:X105" si="119">IF(1/((350000*L)*(1/I69+1/J69))&gt;Isw_min, 350, 0.001/((Isw_min*L)*(1/I69+1/J69)))</f>
        <v>350</v>
      </c>
      <c r="Y69" s="452">
        <f t="shared" si="46"/>
        <v>350</v>
      </c>
      <c r="AA69" s="222">
        <f t="shared" ref="AA69:AA105" si="120">1/((X69*1000*L)*(1/I69+1/J69))</f>
        <v>2.6213592233009715</v>
      </c>
      <c r="AB69" s="178">
        <f t="shared" ref="AB69:AB100" si="121">L*AA69/J69*1000000</f>
        <v>1.4979195561719838</v>
      </c>
      <c r="AC69" s="178">
        <f t="shared" ref="AC69:AC100" si="122">0.5*AB69*AA69*Nps*X69/1000</f>
        <v>0.68715241775850722</v>
      </c>
      <c r="AD69" s="178"/>
      <c r="AE69" s="178">
        <f t="shared" ref="AE69:AE105" si="123">L*Isw_min/J69*1000000</f>
        <v>0.46857142857142853</v>
      </c>
      <c r="AF69" s="560">
        <f>MAX(12, F69/(0.5*AE69/1000000*Isw_min*Nps)/1000)</f>
        <v>2665.0803093396794</v>
      </c>
      <c r="AG69" s="543">
        <f t="shared" ref="AG69:AG105" si="124">0.5*AE69/1000000*Isw_min*Nps*X69*1000</f>
        <v>6.723999999999998E-2</v>
      </c>
      <c r="AI69" s="178">
        <f t="shared" ref="AI69:AI105" si="125">SQRT(F69/Efficiency/(0.5*L/J69*Fsw_DCM*Nps))</f>
        <v>2.3215240003520377</v>
      </c>
      <c r="AJ69" s="178">
        <f t="shared" ref="AJ69:AJ100" si="126">MAX(IF(F69&gt;AC69,U69,AI69),Isw_min)</f>
        <v>2.3215240003520377</v>
      </c>
      <c r="AK69" s="178">
        <f t="shared" ref="AK69:AK100" si="127">IF(F69&gt;AG69, (AJ69-Isw_min)/1.08*0.8+1.2, AF69*0.2/350+1)</f>
        <v>2.3122400002607688</v>
      </c>
      <c r="AM69" s="560">
        <f t="shared" ref="AM69:AM105" si="128">F69*1000</f>
        <v>512</v>
      </c>
      <c r="AN69" s="470">
        <f t="shared" ref="AN69:AN105" si="129">IF(F69&gt;AG69, Y69, AF69)</f>
        <v>350</v>
      </c>
      <c r="AP69">
        <f t="shared" ref="AP69:AP103" si="130">IF(H69&gt;N69, "",AM69)</f>
        <v>512</v>
      </c>
      <c r="AQ69" s="470">
        <f t="shared" ref="AQ69:AQ103" si="131">IF(H69&gt;N69, "",AN69)</f>
        <v>350</v>
      </c>
      <c r="AS69" s="6">
        <f t="shared" si="47"/>
        <v>2.8571428571428572</v>
      </c>
      <c r="AT69" s="6">
        <f t="shared" ref="AT69:AT105" si="132">L*AJ69/I69*1000000</f>
        <v>1.2037531853677232</v>
      </c>
      <c r="AU69" s="6">
        <f t="shared" si="48"/>
        <v>1.653389671775134</v>
      </c>
      <c r="AV69" s="6">
        <f t="shared" ref="AV69:AV105" si="133">L*AJ69/J69*1000000</f>
        <v>1.3265851430583071</v>
      </c>
      <c r="AW69" s="178">
        <f t="shared" si="49"/>
        <v>0.42131361487870311</v>
      </c>
      <c r="AX69" s="178">
        <f t="shared" ref="AX69:AX132" si="134">0.5*L*AJ69^2*AN69*1000</f>
        <v>6.6021052631578971</v>
      </c>
      <c r="AY69" s="178">
        <f t="shared" ref="AY69:AY132" si="135">AJ69*Nps/2*(1-AW69)</f>
        <v>0.67171716586802654</v>
      </c>
      <c r="AZ69" s="178">
        <f t="shared" si="50"/>
        <v>9.8286981465276781</v>
      </c>
      <c r="BA69" s="470">
        <f>L*Isw_max^2/(2*Vout_ripple*Vout)*1000000000*((1+M69)/2)^2</f>
        <v>22.244671714791423</v>
      </c>
      <c r="BB69" s="470">
        <f>L*F69^2/(2*Cout*Vout*Nps^2)*1000000000*((1+M69)/(1-M69))^2+F69*RCoutEsr</f>
        <v>14.425275856365953</v>
      </c>
      <c r="BC69" s="6">
        <f t="shared" ref="BC69:BC105" si="136">H69/Efficiency/I69*AU69/Vinripple1</f>
        <v>1.1734518684151527</v>
      </c>
      <c r="BD69" s="470">
        <f>((BY69/I69/Efficiency)*AU69/Cin+(BY69/I69/Efficiency)*RCinEsr)*1000</f>
        <v>80.645194100478932</v>
      </c>
      <c r="BE69" s="6"/>
      <c r="BF69" s="178">
        <f t="shared" si="51"/>
        <v>0.86999207662836009</v>
      </c>
      <c r="BG69" s="178">
        <f t="shared" ref="BG69:BG132" si="137">AJ69*Nps*SQRT((1-AW69)/3)</f>
        <v>1.0196102268386922</v>
      </c>
      <c r="BH69" s="178"/>
      <c r="BI69" s="543">
        <f t="shared" ref="BI69:BI105" si="138">Rdson*BF69^2</f>
        <v>8.3257483473573909E-2</v>
      </c>
      <c r="BJ69" s="543">
        <f t="shared" ref="BJ69:BJ105" si="139">0.5*K69*AJ69*AN69*1000*Trise</f>
        <v>0.1046136752658637</v>
      </c>
      <c r="BK69" s="543">
        <f t="shared" ref="BK69:BK105" si="140">Qg*Vdd*AN69*1000</f>
        <v>1.7499999999999998E-2</v>
      </c>
      <c r="BL69" s="543">
        <f t="shared" ref="BL69:BL105" si="141">0.5*(Coss+Csw)*K69^2*AN69*1000</f>
        <v>5.2216171874999995E-2</v>
      </c>
      <c r="BM69">
        <f t="shared" ref="BM69:BM105" si="142">I69*IQ</f>
        <v>3.9150000000000001E-3</v>
      </c>
      <c r="BN69" s="470">
        <f t="shared" si="52"/>
        <v>261.5023306144376</v>
      </c>
      <c r="BO69" s="543">
        <f t="shared" ref="BO69:BO105" si="143">Vfwd2*F69</f>
        <v>0.20480000000000001</v>
      </c>
      <c r="BP69" s="543"/>
      <c r="BR69" s="470">
        <f t="shared" si="54"/>
        <v>204.8</v>
      </c>
      <c r="BS69" s="543">
        <f t="shared" ref="BS69:BS105" si="144">Rdcr_pri*BF69^2</f>
        <v>3.0275448535845056E-2</v>
      </c>
      <c r="BT69" s="543">
        <f t="shared" ref="BT69:BT105" si="145">Rdcr_sec*BG69^2</f>
        <v>4.1584200586961981E-2</v>
      </c>
      <c r="BU69" s="543">
        <f t="shared" ref="BU69:BU105" si="146">AJ69^2.5*AN69^2.5*k_core</f>
        <v>0</v>
      </c>
      <c r="BV69" s="543">
        <f t="shared" ref="BV69:BV105" si="147">0.5*Lleak*0.000000001*AJ69^2*AN69*1000</f>
        <v>7.0736842105263181E-2</v>
      </c>
      <c r="BW69" s="470">
        <f t="shared" si="55"/>
        <v>142.59649122807022</v>
      </c>
      <c r="BX69" s="178">
        <f t="shared" si="56"/>
        <v>0.60889882184250788</v>
      </c>
      <c r="BY69" s="6">
        <f t="shared" si="57"/>
        <v>6.1440000000000001</v>
      </c>
      <c r="BZ69" s="178">
        <f t="shared" si="58"/>
        <v>0.90983149045962286</v>
      </c>
      <c r="CA69" s="6">
        <f t="shared" si="59"/>
        <v>90.983149045962293</v>
      </c>
      <c r="CD69" s="577">
        <f t="shared" ref="CD69:CD105" si="148">IF(ABS(F69-Ioutmax_Vinnom)&lt;Iout/200, AN69, -50)</f>
        <v>-50</v>
      </c>
      <c r="CE69">
        <f t="shared" ref="CE69:CE105" si="149">IF(ABS(F69-Ioutmax_Vinnom)&lt;Iout/200, N69*BZ69, -50)</f>
        <v>-50</v>
      </c>
    </row>
    <row r="70" spans="5:83" x14ac:dyDescent="0.2">
      <c r="E70" s="175">
        <v>65</v>
      </c>
      <c r="F70" s="222">
        <f t="shared" ref="F70:F101" si="150">IF(PLOT_TYPE=1, E70/100*Iout_max, min_I*EXP(N70*rr/100))</f>
        <v>0.52</v>
      </c>
      <c r="G70" s="222"/>
      <c r="H70" s="222">
        <f t="shared" si="105"/>
        <v>6.24</v>
      </c>
      <c r="I70" s="556">
        <f t="shared" si="106"/>
        <v>13.5</v>
      </c>
      <c r="J70" s="177">
        <f t="shared" si="107"/>
        <v>12.25</v>
      </c>
      <c r="K70" s="452">
        <f t="shared" si="108"/>
        <v>25.75</v>
      </c>
      <c r="L70" s="452"/>
      <c r="M70" s="222">
        <f t="shared" si="109"/>
        <v>0.47572815533980584</v>
      </c>
      <c r="N70" s="177">
        <f t="shared" si="110"/>
        <v>12.507487864077669</v>
      </c>
      <c r="O70" s="177">
        <f t="shared" ref="O70:O133" si="151">T70*F70</f>
        <v>6.24</v>
      </c>
      <c r="P70" s="222">
        <f t="shared" si="111"/>
        <v>1.0422906553398057</v>
      </c>
      <c r="Q70" s="222">
        <f t="shared" si="112"/>
        <v>12</v>
      </c>
      <c r="R70" s="222">
        <f t="shared" si="113"/>
        <v>1.0971480582524269</v>
      </c>
      <c r="S70" s="177">
        <f t="shared" si="114"/>
        <v>37.150335984883071</v>
      </c>
      <c r="T70" s="177">
        <f t="shared" si="115"/>
        <v>12</v>
      </c>
      <c r="U70" s="222">
        <f t="shared" si="116"/>
        <v>2.0454946891037116</v>
      </c>
      <c r="V70" s="222">
        <f t="shared" si="117"/>
        <v>1.060626875831554</v>
      </c>
      <c r="W70" s="222">
        <f t="shared" si="118"/>
        <v>1.1688541080592638</v>
      </c>
      <c r="X70" s="202">
        <f t="shared" si="119"/>
        <v>350</v>
      </c>
      <c r="Y70" s="452">
        <f t="shared" ref="Y70:Y105" si="152">MIN(1/(V70+W70)*1000, 350)</f>
        <v>350</v>
      </c>
      <c r="AA70" s="222">
        <f t="shared" si="120"/>
        <v>2.6213592233009715</v>
      </c>
      <c r="AB70" s="178">
        <f t="shared" si="121"/>
        <v>1.4979195561719838</v>
      </c>
      <c r="AC70" s="178">
        <f t="shared" si="122"/>
        <v>0.68715241775850722</v>
      </c>
      <c r="AD70" s="178"/>
      <c r="AE70" s="178">
        <f t="shared" si="123"/>
        <v>0.46857142857142853</v>
      </c>
      <c r="AF70" s="560">
        <f>MAX(12, F70/(0.5*AE70/1000000*Isw_min*Nps)/1000)</f>
        <v>2706.7221891731115</v>
      </c>
      <c r="AG70" s="543">
        <f t="shared" si="124"/>
        <v>6.723999999999998E-2</v>
      </c>
      <c r="AI70" s="178">
        <f t="shared" si="125"/>
        <v>2.3395906074624073</v>
      </c>
      <c r="AJ70" s="178">
        <f t="shared" si="126"/>
        <v>2.3395906074624073</v>
      </c>
      <c r="AK70" s="178">
        <f t="shared" si="127"/>
        <v>2.3256226721943758</v>
      </c>
      <c r="AM70" s="560">
        <f t="shared" si="128"/>
        <v>520</v>
      </c>
      <c r="AN70" s="470">
        <f t="shared" si="129"/>
        <v>350</v>
      </c>
      <c r="AP70">
        <f t="shared" si="130"/>
        <v>520</v>
      </c>
      <c r="AQ70" s="470">
        <f t="shared" si="131"/>
        <v>350</v>
      </c>
      <c r="AS70" s="6">
        <f t="shared" ref="AS70:AS133" si="153">1/AN70*1000</f>
        <v>2.8571428571428572</v>
      </c>
      <c r="AT70" s="6">
        <f t="shared" si="132"/>
        <v>1.213121055721248</v>
      </c>
      <c r="AU70" s="6">
        <f t="shared" ref="AU70:AU105" si="154">AS70-AT70</f>
        <v>1.6440218014216093</v>
      </c>
      <c r="AV70" s="6">
        <f t="shared" si="133"/>
        <v>1.336908918549947</v>
      </c>
      <c r="AW70" s="178">
        <f t="shared" ref="AW70:AW105" si="155">AT70/AS70</f>
        <v>0.42459236950243678</v>
      </c>
      <c r="AX70" s="178">
        <f t="shared" si="134"/>
        <v>6.7052631578947368</v>
      </c>
      <c r="AY70" s="178">
        <f t="shared" si="135"/>
        <v>0.67310914388714926</v>
      </c>
      <c r="AZ70" s="178">
        <f t="shared" ref="AZ70:AZ133" si="156">AX70/AY70</f>
        <v>9.9616283908615486</v>
      </c>
      <c r="BA70" s="470">
        <f>L*Isw_max^2/(2*Vout_ripple*Vout)*1000000000*((1+M70)/2)^2</f>
        <v>22.244671714791423</v>
      </c>
      <c r="BB70" s="470">
        <f>L*F70^2/(2*Cout*Vout*Nps^2)*1000000000*((1+M70)/(1-M70))^2+F70*RCoutEsr</f>
        <v>14.855212522740763</v>
      </c>
      <c r="BC70" s="6">
        <f t="shared" si="136"/>
        <v>1.1850345581830444</v>
      </c>
      <c r="BD70" s="470">
        <f>((BY70/I70/Efficiency)*AU70/Cin+(BY70/I70/Efficiency)*RCinEsr)*1000</f>
        <v>81.44948180016253</v>
      </c>
      <c r="BE70" s="6"/>
      <c r="BF70" s="178">
        <f t="shared" ref="BF70:BF133" si="157">AJ70*SQRT(AW70/3)</f>
        <v>0.88016751224893619</v>
      </c>
      <c r="BG70" s="178">
        <f t="shared" si="137"/>
        <v>1.0246299594928361</v>
      </c>
      <c r="BH70" s="178"/>
      <c r="BI70" s="543">
        <f t="shared" si="138"/>
        <v>8.5216433458032939E-2</v>
      </c>
      <c r="BJ70" s="543">
        <f t="shared" si="139"/>
        <v>0.10542780174877472</v>
      </c>
      <c r="BK70" s="543">
        <f t="shared" si="140"/>
        <v>1.7499999999999998E-2</v>
      </c>
      <c r="BL70" s="543">
        <f t="shared" si="141"/>
        <v>5.2216171874999995E-2</v>
      </c>
      <c r="BM70">
        <f t="shared" si="142"/>
        <v>3.9150000000000001E-3</v>
      </c>
      <c r="BN70" s="470">
        <f t="shared" ref="BN70:BN105" si="158">SUM(BI70:BM70)*1000</f>
        <v>264.27540708180766</v>
      </c>
      <c r="BO70" s="543">
        <f t="shared" si="143"/>
        <v>0.20800000000000002</v>
      </c>
      <c r="BP70" s="543"/>
      <c r="BR70" s="470">
        <f t="shared" ref="BR70:BR105" si="159">SUM(BO70:BQ70)*1000</f>
        <v>208.00000000000003</v>
      </c>
      <c r="BS70" s="543">
        <f t="shared" si="144"/>
        <v>3.0987793984739252E-2</v>
      </c>
      <c r="BT70" s="543">
        <f t="shared" si="145"/>
        <v>4.1994662155611637E-2</v>
      </c>
      <c r="BU70" s="543">
        <f t="shared" si="146"/>
        <v>0</v>
      </c>
      <c r="BV70" s="543">
        <f t="shared" si="147"/>
        <v>7.1842105263157915E-2</v>
      </c>
      <c r="BW70" s="470">
        <f t="shared" ref="BW70:BW105" si="160">SUM(BS70:BV70)*1000</f>
        <v>144.8245614035088</v>
      </c>
      <c r="BX70" s="178">
        <f t="shared" ref="BX70:BX105" si="161">SUM(BI70:BM70,BO70:BQ70,BS70:BV70)</f>
        <v>0.61709996848531645</v>
      </c>
      <c r="BY70" s="6">
        <f t="shared" ref="BY70:BY105" si="162">MIN(H70,O70)</f>
        <v>6.24</v>
      </c>
      <c r="BZ70" s="178">
        <f t="shared" ref="BZ70:BZ105" si="163">BY70/(BY70+BX70)</f>
        <v>0.9100056917178605</v>
      </c>
      <c r="CA70" s="6">
        <f t="shared" ref="CA70:CA105" si="164">BZ70*100</f>
        <v>91.000569171786054</v>
      </c>
      <c r="CD70" s="577">
        <f t="shared" si="148"/>
        <v>-50</v>
      </c>
      <c r="CE70">
        <f t="shared" si="149"/>
        <v>-50</v>
      </c>
    </row>
    <row r="71" spans="5:83" x14ac:dyDescent="0.2">
      <c r="E71" s="175">
        <v>66</v>
      </c>
      <c r="F71" s="222">
        <f t="shared" si="150"/>
        <v>0.52800000000000002</v>
      </c>
      <c r="G71" s="222"/>
      <c r="H71" s="222">
        <f t="shared" si="105"/>
        <v>6.3360000000000003</v>
      </c>
      <c r="I71" s="556">
        <f t="shared" si="106"/>
        <v>13.5</v>
      </c>
      <c r="J71" s="177">
        <f t="shared" si="107"/>
        <v>12.25</v>
      </c>
      <c r="K71" s="452">
        <f t="shared" si="108"/>
        <v>25.75</v>
      </c>
      <c r="L71" s="452"/>
      <c r="M71" s="222">
        <f t="shared" si="109"/>
        <v>0.47572815533980584</v>
      </c>
      <c r="N71" s="177">
        <f t="shared" si="110"/>
        <v>12.507487864077669</v>
      </c>
      <c r="O71" s="177">
        <f t="shared" si="151"/>
        <v>6.3360000000000003</v>
      </c>
      <c r="P71" s="222">
        <f t="shared" si="111"/>
        <v>1.0422906553398057</v>
      </c>
      <c r="Q71" s="222">
        <f t="shared" si="112"/>
        <v>12</v>
      </c>
      <c r="R71" s="222">
        <f t="shared" si="113"/>
        <v>1.0971480582524269</v>
      </c>
      <c r="S71" s="177">
        <f t="shared" si="114"/>
        <v>36.386156200595494</v>
      </c>
      <c r="T71" s="177">
        <f t="shared" si="115"/>
        <v>12</v>
      </c>
      <c r="U71" s="222">
        <f t="shared" si="116"/>
        <v>2.0769638381668458</v>
      </c>
      <c r="V71" s="222">
        <f t="shared" si="117"/>
        <v>1.076944212382809</v>
      </c>
      <c r="W71" s="222">
        <f t="shared" si="118"/>
        <v>1.1868364789524832</v>
      </c>
      <c r="X71" s="202">
        <f t="shared" si="119"/>
        <v>350</v>
      </c>
      <c r="Y71" s="452">
        <f t="shared" si="152"/>
        <v>350</v>
      </c>
      <c r="AA71" s="222">
        <f t="shared" si="120"/>
        <v>2.6213592233009715</v>
      </c>
      <c r="AB71" s="178">
        <f t="shared" si="121"/>
        <v>1.4979195561719838</v>
      </c>
      <c r="AC71" s="178">
        <f t="shared" si="122"/>
        <v>0.68715241775850722</v>
      </c>
      <c r="AD71" s="178"/>
      <c r="AE71" s="178">
        <f t="shared" si="123"/>
        <v>0.46857142857142853</v>
      </c>
      <c r="AF71" s="560">
        <f>MAX(12, F71/(0.5*AE71/1000000*Isw_min*Nps)/1000)</f>
        <v>2748.3640690065445</v>
      </c>
      <c r="AG71" s="543">
        <f t="shared" si="124"/>
        <v>6.723999999999998E-2</v>
      </c>
      <c r="AI71" s="178">
        <f t="shared" si="125"/>
        <v>2.3575187670180076</v>
      </c>
      <c r="AJ71" s="178">
        <f t="shared" si="126"/>
        <v>2.3575187670180076</v>
      </c>
      <c r="AK71" s="178">
        <f t="shared" si="127"/>
        <v>2.3389027903837092</v>
      </c>
      <c r="AM71" s="560">
        <f t="shared" si="128"/>
        <v>528</v>
      </c>
      <c r="AN71" s="470">
        <f t="shared" si="129"/>
        <v>350</v>
      </c>
      <c r="AP71">
        <f t="shared" si="130"/>
        <v>528</v>
      </c>
      <c r="AQ71" s="470">
        <f t="shared" si="131"/>
        <v>350</v>
      </c>
      <c r="AS71" s="6">
        <f t="shared" si="153"/>
        <v>2.8571428571428572</v>
      </c>
      <c r="AT71" s="6">
        <f t="shared" si="132"/>
        <v>1.2224171384537816</v>
      </c>
      <c r="AU71" s="6">
        <f t="shared" si="154"/>
        <v>1.6347257186890756</v>
      </c>
      <c r="AV71" s="6">
        <f t="shared" si="133"/>
        <v>1.3471535811531472</v>
      </c>
      <c r="AW71" s="178">
        <f t="shared" si="155"/>
        <v>0.42784599845882354</v>
      </c>
      <c r="AX71" s="178">
        <f t="shared" si="134"/>
        <v>6.8084210526315809</v>
      </c>
      <c r="AY71" s="178">
        <f t="shared" si="135"/>
        <v>0.67443189812888671</v>
      </c>
      <c r="AZ71" s="178">
        <f t="shared" si="156"/>
        <v>10.095046025433488</v>
      </c>
      <c r="BA71" s="470">
        <f>L*Isw_max^2/(2*Vout_ripple*Vout)*1000000000*((1+M71)/2)^2</f>
        <v>22.244671714791423</v>
      </c>
      <c r="BB71" s="470">
        <f>L*F71^2/(2*Cout*Vout*Nps^2)*1000000000*((1+M71)/(1-M71))^2+F71*RCoutEsr</f>
        <v>15.291442780842312</v>
      </c>
      <c r="BC71" s="6">
        <f t="shared" si="136"/>
        <v>1.1964620204882228</v>
      </c>
      <c r="BD71" s="470">
        <f>((BY71/I71/Efficiency)*AU71/Cin+(BY71/I71/Efficiency)*RCinEsr)*1000</f>
        <v>82.243291646112937</v>
      </c>
      <c r="BE71" s="6"/>
      <c r="BF71" s="178">
        <f t="shared" si="157"/>
        <v>0.89030388501403479</v>
      </c>
      <c r="BG71" s="178">
        <f t="shared" si="137"/>
        <v>1.0295584350954952</v>
      </c>
      <c r="BH71" s="178"/>
      <c r="BI71" s="543">
        <f t="shared" si="138"/>
        <v>8.7190510843819208E-2</v>
      </c>
      <c r="BJ71" s="543">
        <f t="shared" si="139"/>
        <v>0.10623568943874898</v>
      </c>
      <c r="BK71" s="543">
        <f t="shared" si="140"/>
        <v>1.7499999999999998E-2</v>
      </c>
      <c r="BL71" s="543">
        <f t="shared" si="141"/>
        <v>5.2216171874999995E-2</v>
      </c>
      <c r="BM71">
        <f t="shared" si="142"/>
        <v>3.9150000000000001E-3</v>
      </c>
      <c r="BN71" s="470">
        <f t="shared" si="158"/>
        <v>267.05737215756818</v>
      </c>
      <c r="BO71" s="543">
        <f t="shared" si="143"/>
        <v>0.21120000000000003</v>
      </c>
      <c r="BP71" s="543"/>
      <c r="BR71" s="470">
        <f t="shared" si="159"/>
        <v>211.20000000000002</v>
      </c>
      <c r="BS71" s="543">
        <f t="shared" si="144"/>
        <v>3.170564030684335E-2</v>
      </c>
      <c r="BT71" s="543">
        <f t="shared" si="145"/>
        <v>4.2399622851051401E-2</v>
      </c>
      <c r="BU71" s="543">
        <f t="shared" si="146"/>
        <v>0</v>
      </c>
      <c r="BV71" s="543">
        <f t="shared" si="147"/>
        <v>7.294736842105265E-2</v>
      </c>
      <c r="BW71" s="470">
        <f t="shared" si="160"/>
        <v>147.0526315789474</v>
      </c>
      <c r="BX71" s="178">
        <f t="shared" si="161"/>
        <v>0.62531000373651557</v>
      </c>
      <c r="BY71" s="6">
        <f t="shared" si="162"/>
        <v>6.3360000000000003</v>
      </c>
      <c r="BZ71" s="178">
        <f t="shared" si="163"/>
        <v>0.91017351570309646</v>
      </c>
      <c r="CA71" s="6">
        <f t="shared" si="164"/>
        <v>91.017351570309643</v>
      </c>
      <c r="CD71" s="577">
        <f t="shared" si="148"/>
        <v>-50</v>
      </c>
      <c r="CE71">
        <f t="shared" si="149"/>
        <v>-50</v>
      </c>
    </row>
    <row r="72" spans="5:83" x14ac:dyDescent="0.2">
      <c r="E72" s="175">
        <v>67</v>
      </c>
      <c r="F72" s="222">
        <f t="shared" si="150"/>
        <v>0.53600000000000003</v>
      </c>
      <c r="G72" s="222"/>
      <c r="H72" s="222">
        <f t="shared" si="105"/>
        <v>6.4320000000000004</v>
      </c>
      <c r="I72" s="556">
        <f t="shared" si="106"/>
        <v>13.5</v>
      </c>
      <c r="J72" s="177">
        <f t="shared" si="107"/>
        <v>12.25</v>
      </c>
      <c r="K72" s="452">
        <f t="shared" si="108"/>
        <v>25.75</v>
      </c>
      <c r="L72" s="452"/>
      <c r="M72" s="222">
        <f t="shared" si="109"/>
        <v>0.47572815533980584</v>
      </c>
      <c r="N72" s="177">
        <f t="shared" si="110"/>
        <v>12.507487864077669</v>
      </c>
      <c r="O72" s="177">
        <f t="shared" si="151"/>
        <v>6.4320000000000004</v>
      </c>
      <c r="P72" s="222">
        <f t="shared" si="111"/>
        <v>1.0422906553398057</v>
      </c>
      <c r="Q72" s="222">
        <f t="shared" si="112"/>
        <v>12</v>
      </c>
      <c r="R72" s="222">
        <f t="shared" si="113"/>
        <v>1.0971480582524269</v>
      </c>
      <c r="S72" s="177">
        <f t="shared" si="114"/>
        <v>35.644864145459806</v>
      </c>
      <c r="T72" s="177">
        <f t="shared" si="115"/>
        <v>12</v>
      </c>
      <c r="U72" s="222">
        <f t="shared" si="116"/>
        <v>2.1084329872299796</v>
      </c>
      <c r="V72" s="222">
        <f t="shared" si="117"/>
        <v>1.0932615489340636</v>
      </c>
      <c r="W72" s="222">
        <f t="shared" si="118"/>
        <v>1.2048188498457026</v>
      </c>
      <c r="X72" s="202">
        <f t="shared" si="119"/>
        <v>350</v>
      </c>
      <c r="Y72" s="452">
        <f t="shared" si="152"/>
        <v>350</v>
      </c>
      <c r="AA72" s="222">
        <f t="shared" si="120"/>
        <v>2.6213592233009715</v>
      </c>
      <c r="AB72" s="178">
        <f t="shared" si="121"/>
        <v>1.4979195561719838</v>
      </c>
      <c r="AC72" s="178">
        <f t="shared" si="122"/>
        <v>0.68715241775850722</v>
      </c>
      <c r="AD72" s="178"/>
      <c r="AE72" s="178">
        <f t="shared" si="123"/>
        <v>0.46857142857142853</v>
      </c>
      <c r="AF72" s="560">
        <f>MAX(12, F72/(0.5*AE72/1000000*Isw_min*Nps)/1000)</f>
        <v>2790.005948839977</v>
      </c>
      <c r="AG72" s="543">
        <f t="shared" si="124"/>
        <v>6.723999999999998E-2</v>
      </c>
      <c r="AI72" s="178">
        <f t="shared" si="125"/>
        <v>2.3753116139062462</v>
      </c>
      <c r="AJ72" s="178">
        <f t="shared" si="126"/>
        <v>2.3753116139062462</v>
      </c>
      <c r="AK72" s="178">
        <f t="shared" si="127"/>
        <v>2.3520826769675898</v>
      </c>
      <c r="AM72" s="560">
        <f t="shared" si="128"/>
        <v>536</v>
      </c>
      <c r="AN72" s="470">
        <f t="shared" si="129"/>
        <v>350</v>
      </c>
      <c r="AP72">
        <f t="shared" si="130"/>
        <v>536</v>
      </c>
      <c r="AQ72" s="470">
        <f t="shared" si="131"/>
        <v>350</v>
      </c>
      <c r="AS72" s="6">
        <f t="shared" si="153"/>
        <v>2.8571428571428572</v>
      </c>
      <c r="AT72" s="6">
        <f t="shared" si="132"/>
        <v>1.231643059062498</v>
      </c>
      <c r="AU72" s="6">
        <f t="shared" si="154"/>
        <v>1.6254997980803592</v>
      </c>
      <c r="AV72" s="6">
        <f t="shared" si="133"/>
        <v>1.3573209222321405</v>
      </c>
      <c r="AW72" s="178">
        <f t="shared" si="155"/>
        <v>0.43107507067187428</v>
      </c>
      <c r="AX72" s="178">
        <f t="shared" si="134"/>
        <v>6.9115789473684233</v>
      </c>
      <c r="AY72" s="178">
        <f t="shared" si="135"/>
        <v>0.67568699603694371</v>
      </c>
      <c r="AZ72" s="178">
        <f t="shared" si="156"/>
        <v>10.228965464640268</v>
      </c>
      <c r="BA72" s="470">
        <f>L*Isw_max^2/(2*Vout_ripple*Vout)*1000000000*((1+M72)/2)^2</f>
        <v>22.244671714791423</v>
      </c>
      <c r="BB72" s="470">
        <f>L*F72^2/(2*Cout*Vout*Nps^2)*1000000000*((1+M72)/(1-M72))^2+F72*RCoutEsr</f>
        <v>15.733966630670599</v>
      </c>
      <c r="BC72" s="6">
        <f t="shared" si="136"/>
        <v>1.2077354358533388</v>
      </c>
      <c r="BD72" s="470">
        <f>((BY72/I72/Efficiency)*AU72/Cin+(BY72/I72/Efficiency)*RCinEsr)*1000</f>
        <v>83.026703323609127</v>
      </c>
      <c r="BE72" s="6"/>
      <c r="BF72" s="178">
        <f t="shared" si="157"/>
        <v>0.90040193340787977</v>
      </c>
      <c r="BG72" s="178">
        <f t="shared" si="137"/>
        <v>1.0343974635996154</v>
      </c>
      <c r="BH72" s="178"/>
      <c r="BI72" s="543">
        <f t="shared" si="138"/>
        <v>8.9179600585311269E-2</v>
      </c>
      <c r="BJ72" s="543">
        <f t="shared" si="139"/>
        <v>0.10703747960165022</v>
      </c>
      <c r="BK72" s="543">
        <f t="shared" si="140"/>
        <v>1.7499999999999998E-2</v>
      </c>
      <c r="BL72" s="543">
        <f t="shared" si="141"/>
        <v>5.2216171874999995E-2</v>
      </c>
      <c r="BM72">
        <f t="shared" si="142"/>
        <v>3.9150000000000001E-3</v>
      </c>
      <c r="BN72" s="470">
        <f t="shared" si="158"/>
        <v>269.84825206196149</v>
      </c>
      <c r="BO72" s="543">
        <f t="shared" si="143"/>
        <v>0.21440000000000003</v>
      </c>
      <c r="BP72" s="543"/>
      <c r="BR72" s="470">
        <f t="shared" si="159"/>
        <v>214.40000000000003</v>
      </c>
      <c r="BS72" s="543">
        <f t="shared" si="144"/>
        <v>3.2428945667385918E-2</v>
      </c>
      <c r="BT72" s="543">
        <f t="shared" si="145"/>
        <v>4.2799124508052712E-2</v>
      </c>
      <c r="BU72" s="543">
        <f t="shared" si="146"/>
        <v>0</v>
      </c>
      <c r="BV72" s="543">
        <f t="shared" si="147"/>
        <v>7.4052631578947398E-2</v>
      </c>
      <c r="BW72" s="470">
        <f t="shared" si="160"/>
        <v>149.280701754386</v>
      </c>
      <c r="BX72" s="178">
        <f t="shared" si="161"/>
        <v>0.63352895381634755</v>
      </c>
      <c r="BY72" s="6">
        <f t="shared" si="162"/>
        <v>6.4320000000000004</v>
      </c>
      <c r="BZ72" s="178">
        <f t="shared" si="163"/>
        <v>0.91033524058037352</v>
      </c>
      <c r="CA72" s="6">
        <f t="shared" si="164"/>
        <v>91.033524058037358</v>
      </c>
      <c r="CD72" s="577">
        <f t="shared" si="148"/>
        <v>-50</v>
      </c>
      <c r="CE72">
        <f t="shared" si="149"/>
        <v>-50</v>
      </c>
    </row>
    <row r="73" spans="5:83" x14ac:dyDescent="0.2">
      <c r="E73" s="175">
        <v>68</v>
      </c>
      <c r="F73" s="222">
        <f t="shared" si="150"/>
        <v>0.54400000000000004</v>
      </c>
      <c r="G73" s="222"/>
      <c r="H73" s="222">
        <f t="shared" si="105"/>
        <v>6.5280000000000005</v>
      </c>
      <c r="I73" s="556">
        <f t="shared" si="106"/>
        <v>13.5</v>
      </c>
      <c r="J73" s="177">
        <f t="shared" si="107"/>
        <v>12.25</v>
      </c>
      <c r="K73" s="452">
        <f t="shared" si="108"/>
        <v>25.75</v>
      </c>
      <c r="L73" s="452"/>
      <c r="M73" s="222">
        <f t="shared" si="109"/>
        <v>0.47572815533980584</v>
      </c>
      <c r="N73" s="177">
        <f t="shared" si="110"/>
        <v>12.507487864077669</v>
      </c>
      <c r="O73" s="177">
        <f t="shared" si="151"/>
        <v>6.5280000000000005</v>
      </c>
      <c r="P73" s="222">
        <f t="shared" si="111"/>
        <v>1.0422906553398057</v>
      </c>
      <c r="Q73" s="222">
        <f t="shared" si="112"/>
        <v>12</v>
      </c>
      <c r="R73" s="222">
        <f t="shared" si="113"/>
        <v>1.0971480582524269</v>
      </c>
      <c r="S73" s="177">
        <f t="shared" si="114"/>
        <v>34.925451272816225</v>
      </c>
      <c r="T73" s="177">
        <f t="shared" si="115"/>
        <v>12</v>
      </c>
      <c r="U73" s="222">
        <f t="shared" si="116"/>
        <v>2.1399021362931139</v>
      </c>
      <c r="V73" s="222">
        <f t="shared" si="117"/>
        <v>1.1095788854853181</v>
      </c>
      <c r="W73" s="222">
        <f t="shared" si="118"/>
        <v>1.2228012207389223</v>
      </c>
      <c r="X73" s="202">
        <f t="shared" si="119"/>
        <v>350</v>
      </c>
      <c r="Y73" s="452">
        <f t="shared" si="152"/>
        <v>350</v>
      </c>
      <c r="AA73" s="222">
        <f t="shared" si="120"/>
        <v>2.6213592233009715</v>
      </c>
      <c r="AB73" s="178">
        <f t="shared" si="121"/>
        <v>1.4979195561719838</v>
      </c>
      <c r="AC73" s="178">
        <f t="shared" si="122"/>
        <v>0.68715241775850722</v>
      </c>
      <c r="AD73" s="178"/>
      <c r="AE73" s="178">
        <f t="shared" si="123"/>
        <v>0.46857142857142853</v>
      </c>
      <c r="AF73" s="560">
        <f>MAX(12, F73/(0.5*AE73/1000000*Isw_min*Nps)/1000)</f>
        <v>2831.6478286734091</v>
      </c>
      <c r="AG73" s="543">
        <f t="shared" si="124"/>
        <v>6.723999999999998E-2</v>
      </c>
      <c r="AI73" s="178">
        <f t="shared" si="125"/>
        <v>2.3929721664644754</v>
      </c>
      <c r="AJ73" s="178">
        <f t="shared" si="126"/>
        <v>2.3929721664644754</v>
      </c>
      <c r="AK73" s="178">
        <f t="shared" si="127"/>
        <v>2.3651645677514632</v>
      </c>
      <c r="AM73" s="560">
        <f t="shared" si="128"/>
        <v>544</v>
      </c>
      <c r="AN73" s="470">
        <f t="shared" si="129"/>
        <v>350</v>
      </c>
      <c r="AP73">
        <f t="shared" si="130"/>
        <v>544</v>
      </c>
      <c r="AQ73" s="470">
        <f t="shared" si="131"/>
        <v>350</v>
      </c>
      <c r="AS73" s="6">
        <f t="shared" si="153"/>
        <v>2.8571428571428572</v>
      </c>
      <c r="AT73" s="6">
        <f t="shared" si="132"/>
        <v>1.2408003826112093</v>
      </c>
      <c r="AU73" s="6">
        <f t="shared" si="154"/>
        <v>1.6163424745316479</v>
      </c>
      <c r="AV73" s="6">
        <f t="shared" si="133"/>
        <v>1.3674126665511286</v>
      </c>
      <c r="AW73" s="178">
        <f t="shared" si="155"/>
        <v>0.43428013391392323</v>
      </c>
      <c r="AX73" s="178">
        <f t="shared" si="134"/>
        <v>7.0147368421052638</v>
      </c>
      <c r="AY73" s="178">
        <f t="shared" si="135"/>
        <v>0.67687594677999596</v>
      </c>
      <c r="AZ73" s="178">
        <f t="shared" si="156"/>
        <v>10.363400968043637</v>
      </c>
      <c r="BA73" s="470">
        <f>L*Isw_max^2/(2*Vout_ripple*Vout)*1000000000*((1+M73)/2)^2</f>
        <v>22.244671714791423</v>
      </c>
      <c r="BB73" s="470">
        <f>L*F73^2/(2*Cout*Vout*Nps^2)*1000000000*((1+M73)/(1-M73))^2+F73*RCoutEsr</f>
        <v>16.18278407222563</v>
      </c>
      <c r="BC73" s="6">
        <f t="shared" si="136"/>
        <v>1.2188559582693057</v>
      </c>
      <c r="BD73" s="470">
        <f>((BY73/I73/Efficiency)*AU73/Cin+(BY73/I73/Efficiency)*RCinEsr)*1000</f>
        <v>83.799794727037806</v>
      </c>
      <c r="BE73" s="6"/>
      <c r="BF73" s="178">
        <f t="shared" si="157"/>
        <v>0.91046237115838469</v>
      </c>
      <c r="BG73" s="178">
        <f t="shared" si="137"/>
        <v>1.0391487865215516</v>
      </c>
      <c r="BH73" s="178"/>
      <c r="BI73" s="543">
        <f t="shared" si="138"/>
        <v>9.1183590222488314E-2</v>
      </c>
      <c r="BJ73" s="543">
        <f t="shared" si="139"/>
        <v>0.10783330825130542</v>
      </c>
      <c r="BK73" s="543">
        <f t="shared" si="140"/>
        <v>1.7499999999999998E-2</v>
      </c>
      <c r="BL73" s="543">
        <f t="shared" si="141"/>
        <v>5.2216171874999995E-2</v>
      </c>
      <c r="BM73">
        <f t="shared" si="142"/>
        <v>3.9150000000000001E-3</v>
      </c>
      <c r="BN73" s="470">
        <f t="shared" si="158"/>
        <v>272.64807034879368</v>
      </c>
      <c r="BO73" s="543">
        <f t="shared" si="143"/>
        <v>0.21760000000000002</v>
      </c>
      <c r="BP73" s="543"/>
      <c r="BR73" s="470">
        <f t="shared" si="159"/>
        <v>217.60000000000002</v>
      </c>
      <c r="BS73" s="543">
        <f t="shared" si="144"/>
        <v>3.3157669171813932E-2</v>
      </c>
      <c r="BT73" s="543">
        <f t="shared" si="145"/>
        <v>4.3193208021168536E-2</v>
      </c>
      <c r="BU73" s="543">
        <f t="shared" si="146"/>
        <v>0</v>
      </c>
      <c r="BV73" s="543">
        <f t="shared" si="147"/>
        <v>7.5157894736842118E-2</v>
      </c>
      <c r="BW73" s="470">
        <f t="shared" si="160"/>
        <v>151.5087719298246</v>
      </c>
      <c r="BX73" s="178">
        <f t="shared" si="161"/>
        <v>0.64175684227861829</v>
      </c>
      <c r="BY73" s="6">
        <f t="shared" si="162"/>
        <v>6.5280000000000005</v>
      </c>
      <c r="BZ73" s="178">
        <f t="shared" si="163"/>
        <v>0.91049112872359816</v>
      </c>
      <c r="CA73" s="6">
        <f t="shared" si="164"/>
        <v>91.049112872359814</v>
      </c>
      <c r="CD73" s="577">
        <f t="shared" si="148"/>
        <v>-50</v>
      </c>
      <c r="CE73">
        <f t="shared" si="149"/>
        <v>-50</v>
      </c>
    </row>
    <row r="74" spans="5:83" x14ac:dyDescent="0.2">
      <c r="E74" s="175">
        <v>69</v>
      </c>
      <c r="F74" s="222">
        <f t="shared" si="150"/>
        <v>0.55199999999999994</v>
      </c>
      <c r="G74" s="222"/>
      <c r="H74" s="222">
        <f t="shared" si="105"/>
        <v>6.6239999999999988</v>
      </c>
      <c r="I74" s="556">
        <f t="shared" si="106"/>
        <v>13.5</v>
      </c>
      <c r="J74" s="177">
        <f t="shared" si="107"/>
        <v>12.25</v>
      </c>
      <c r="K74" s="452">
        <f t="shared" si="108"/>
        <v>25.75</v>
      </c>
      <c r="L74" s="452"/>
      <c r="M74" s="222">
        <f t="shared" si="109"/>
        <v>0.47572815533980584</v>
      </c>
      <c r="N74" s="177">
        <f t="shared" si="110"/>
        <v>12.507487864077669</v>
      </c>
      <c r="O74" s="177">
        <f t="shared" si="151"/>
        <v>6.6239999999999988</v>
      </c>
      <c r="P74" s="222">
        <f t="shared" si="111"/>
        <v>1.0422906553398057</v>
      </c>
      <c r="Q74" s="222">
        <f t="shared" si="112"/>
        <v>12</v>
      </c>
      <c r="R74" s="222">
        <f t="shared" si="113"/>
        <v>1.0971480582524269</v>
      </c>
      <c r="S74" s="177">
        <f t="shared" si="114"/>
        <v>34.226967527013009</v>
      </c>
      <c r="T74" s="177">
        <f t="shared" si="115"/>
        <v>12</v>
      </c>
      <c r="U74" s="222">
        <f t="shared" si="116"/>
        <v>2.1713712853562472</v>
      </c>
      <c r="V74" s="222">
        <f t="shared" si="117"/>
        <v>1.1258962220365727</v>
      </c>
      <c r="W74" s="222">
        <f t="shared" si="118"/>
        <v>1.2407835916321412</v>
      </c>
      <c r="X74" s="202">
        <f t="shared" si="119"/>
        <v>350</v>
      </c>
      <c r="Y74" s="452">
        <f t="shared" si="152"/>
        <v>350</v>
      </c>
      <c r="AA74" s="222">
        <f t="shared" si="120"/>
        <v>2.6213592233009715</v>
      </c>
      <c r="AB74" s="178">
        <f t="shared" si="121"/>
        <v>1.4979195561719838</v>
      </c>
      <c r="AC74" s="178">
        <f t="shared" si="122"/>
        <v>0.68715241775850722</v>
      </c>
      <c r="AD74" s="178"/>
      <c r="AE74" s="178">
        <f t="shared" si="123"/>
        <v>0.46857142857142853</v>
      </c>
      <c r="AF74" s="560">
        <f>MAX(12, F74/(0.5*AE74/1000000*Isw_min*Nps)/1000)</f>
        <v>2873.2897085068412</v>
      </c>
      <c r="AG74" s="543">
        <f t="shared" si="124"/>
        <v>6.723999999999998E-2</v>
      </c>
      <c r="AI74" s="178">
        <f t="shared" si="125"/>
        <v>2.4105033324576577</v>
      </c>
      <c r="AJ74" s="178">
        <f t="shared" si="126"/>
        <v>2.4105033324576577</v>
      </c>
      <c r="AK74" s="178">
        <f t="shared" si="127"/>
        <v>2.3781506166353021</v>
      </c>
      <c r="AM74" s="560">
        <f t="shared" si="128"/>
        <v>551.99999999999989</v>
      </c>
      <c r="AN74" s="470">
        <f t="shared" si="129"/>
        <v>350</v>
      </c>
      <c r="AP74">
        <f t="shared" si="130"/>
        <v>551.99999999999989</v>
      </c>
      <c r="AQ74" s="470">
        <f t="shared" si="131"/>
        <v>350</v>
      </c>
      <c r="AS74" s="6">
        <f t="shared" si="153"/>
        <v>2.8571428571428572</v>
      </c>
      <c r="AT74" s="6">
        <f t="shared" si="132"/>
        <v>1.2498906168298967</v>
      </c>
      <c r="AU74" s="6">
        <f t="shared" si="154"/>
        <v>1.6072522403129605</v>
      </c>
      <c r="AV74" s="6">
        <f t="shared" si="133"/>
        <v>1.3774304756900901</v>
      </c>
      <c r="AW74" s="178">
        <f t="shared" si="155"/>
        <v>0.43746171589046384</v>
      </c>
      <c r="AX74" s="178">
        <f t="shared" si="134"/>
        <v>7.1178947368421044</v>
      </c>
      <c r="AY74" s="178">
        <f t="shared" si="135"/>
        <v>0.67800020424052465</v>
      </c>
      <c r="AZ74" s="178">
        <f t="shared" si="156"/>
        <v>10.49836665582624</v>
      </c>
      <c r="BA74" s="470">
        <f>L*Isw_max^2/(2*Vout_ripple*Vout)*1000000000*((1+M74)/2)^2</f>
        <v>22.244671714791423</v>
      </c>
      <c r="BB74" s="470">
        <f>L*F74^2/(2*Cout*Vout*Nps^2)*1000000000*((1+M74)/(1-M74))^2+F74*RCoutEsr</f>
        <v>16.637895105507397</v>
      </c>
      <c r="BC74" s="6">
        <f t="shared" si="136"/>
        <v>1.2298247161744911</v>
      </c>
      <c r="BD74" s="470">
        <f>((BY74/I74/Efficiency)*AU74/Cin+(BY74/I74/Efficiency)*RCinEsr)*1000</f>
        <v>84.562642025988694</v>
      </c>
      <c r="BE74" s="6"/>
      <c r="BF74" s="178">
        <f t="shared" si="157"/>
        <v>0.92048588841835011</v>
      </c>
      <c r="BG74" s="178">
        <f t="shared" si="137"/>
        <v>1.0438140804213354</v>
      </c>
      <c r="BH74" s="178"/>
      <c r="BI74" s="543">
        <f t="shared" si="138"/>
        <v>9.3202369785505126E-2</v>
      </c>
      <c r="BJ74" s="543">
        <f t="shared" si="139"/>
        <v>0.1086233064188732</v>
      </c>
      <c r="BK74" s="543">
        <f t="shared" si="140"/>
        <v>1.7499999999999998E-2</v>
      </c>
      <c r="BL74" s="543">
        <f t="shared" si="141"/>
        <v>5.2216171874999995E-2</v>
      </c>
      <c r="BM74">
        <f t="shared" si="142"/>
        <v>3.9150000000000001E-3</v>
      </c>
      <c r="BN74" s="470">
        <f t="shared" si="158"/>
        <v>275.45684807937829</v>
      </c>
      <c r="BO74" s="543">
        <f t="shared" si="143"/>
        <v>0.2208</v>
      </c>
      <c r="BP74" s="543"/>
      <c r="BR74" s="470">
        <f t="shared" si="159"/>
        <v>220.79999999999998</v>
      </c>
      <c r="BS74" s="543">
        <f t="shared" si="144"/>
        <v>3.3891770831092773E-2</v>
      </c>
      <c r="BT74" s="543">
        <f t="shared" si="145"/>
        <v>4.3581913379433519E-2</v>
      </c>
      <c r="BU74" s="543">
        <f t="shared" si="146"/>
        <v>0</v>
      </c>
      <c r="BV74" s="543">
        <f t="shared" si="147"/>
        <v>7.6263157894736852E-2</v>
      </c>
      <c r="BW74" s="470">
        <f t="shared" si="160"/>
        <v>153.73684210526315</v>
      </c>
      <c r="BX74" s="178">
        <f t="shared" si="161"/>
        <v>0.64999369018464137</v>
      </c>
      <c r="BY74" s="6">
        <f t="shared" si="162"/>
        <v>6.6239999999999988</v>
      </c>
      <c r="BZ74" s="178">
        <f t="shared" si="163"/>
        <v>0.91064142782228041</v>
      </c>
      <c r="CA74" s="6">
        <f t="shared" si="164"/>
        <v>91.064142782228046</v>
      </c>
      <c r="CD74" s="577">
        <f t="shared" si="148"/>
        <v>-50</v>
      </c>
      <c r="CE74">
        <f t="shared" si="149"/>
        <v>-50</v>
      </c>
    </row>
    <row r="75" spans="5:83" x14ac:dyDescent="0.2">
      <c r="E75" s="175">
        <v>70</v>
      </c>
      <c r="F75" s="222">
        <f t="shared" si="150"/>
        <v>0.55999999999999994</v>
      </c>
      <c r="G75" s="222"/>
      <c r="H75" s="222">
        <f t="shared" si="105"/>
        <v>6.7199999999999989</v>
      </c>
      <c r="I75" s="556">
        <f t="shared" si="106"/>
        <v>13.5</v>
      </c>
      <c r="J75" s="177">
        <f t="shared" si="107"/>
        <v>12.25</v>
      </c>
      <c r="K75" s="452">
        <f t="shared" si="108"/>
        <v>25.75</v>
      </c>
      <c r="L75" s="452"/>
      <c r="M75" s="222">
        <f t="shared" si="109"/>
        <v>0.47572815533980584</v>
      </c>
      <c r="N75" s="177">
        <f t="shared" si="110"/>
        <v>12.507487864077669</v>
      </c>
      <c r="O75" s="177">
        <f t="shared" si="151"/>
        <v>6.7199999999999989</v>
      </c>
      <c r="P75" s="222">
        <f t="shared" si="111"/>
        <v>1.0422906553398057</v>
      </c>
      <c r="Q75" s="222">
        <f t="shared" si="112"/>
        <v>12</v>
      </c>
      <c r="R75" s="222">
        <f t="shared" si="113"/>
        <v>1.0971480582524269</v>
      </c>
      <c r="S75" s="177">
        <f t="shared" si="114"/>
        <v>33.548517166076671</v>
      </c>
      <c r="T75" s="177">
        <f t="shared" si="115"/>
        <v>12</v>
      </c>
      <c r="U75" s="222">
        <f t="shared" si="116"/>
        <v>2.2028404344193815</v>
      </c>
      <c r="V75" s="222">
        <f t="shared" si="117"/>
        <v>1.1422135585878275</v>
      </c>
      <c r="W75" s="222">
        <f t="shared" si="118"/>
        <v>1.2587659625253609</v>
      </c>
      <c r="X75" s="202">
        <f t="shared" si="119"/>
        <v>350</v>
      </c>
      <c r="Y75" s="452">
        <f t="shared" si="152"/>
        <v>350</v>
      </c>
      <c r="AA75" s="222">
        <f t="shared" si="120"/>
        <v>2.6213592233009715</v>
      </c>
      <c r="AB75" s="178">
        <f t="shared" si="121"/>
        <v>1.4979195561719838</v>
      </c>
      <c r="AC75" s="178">
        <f t="shared" si="122"/>
        <v>0.68715241775850722</v>
      </c>
      <c r="AD75" s="178"/>
      <c r="AE75" s="178">
        <f t="shared" si="123"/>
        <v>0.46857142857142853</v>
      </c>
      <c r="AF75" s="560">
        <f>MAX(12, F75/(0.5*AE75/1000000*Isw_min*Nps)/1000)</f>
        <v>2914.9315883402742</v>
      </c>
      <c r="AG75" s="543">
        <f t="shared" si="124"/>
        <v>6.723999999999998E-2</v>
      </c>
      <c r="AI75" s="178">
        <f t="shared" si="125"/>
        <v>2.4279079146675357</v>
      </c>
      <c r="AJ75" s="178">
        <f t="shared" si="126"/>
        <v>2.4279079146675357</v>
      </c>
      <c r="AK75" s="178">
        <f t="shared" si="127"/>
        <v>2.3910428997537303</v>
      </c>
      <c r="AM75" s="560">
        <f t="shared" si="128"/>
        <v>559.99999999999989</v>
      </c>
      <c r="AN75" s="470">
        <f t="shared" si="129"/>
        <v>350</v>
      </c>
      <c r="AP75">
        <f t="shared" si="130"/>
        <v>559.99999999999989</v>
      </c>
      <c r="AQ75" s="470">
        <f t="shared" si="131"/>
        <v>350</v>
      </c>
      <c r="AS75" s="6">
        <f t="shared" si="153"/>
        <v>2.8571428571428572</v>
      </c>
      <c r="AT75" s="6">
        <f t="shared" si="132"/>
        <v>1.2589152150127965</v>
      </c>
      <c r="AU75" s="6">
        <f t="shared" si="154"/>
        <v>1.5982276421300607</v>
      </c>
      <c r="AV75" s="6">
        <f t="shared" si="133"/>
        <v>1.3873759512385919</v>
      </c>
      <c r="AW75" s="178">
        <f t="shared" si="155"/>
        <v>0.44062032525447875</v>
      </c>
      <c r="AX75" s="178">
        <f t="shared" si="134"/>
        <v>7.2210526315789449</v>
      </c>
      <c r="AY75" s="178">
        <f t="shared" si="135"/>
        <v>0.67906116980940157</v>
      </c>
      <c r="AZ75" s="178">
        <f t="shared" si="156"/>
        <v>10.633876523385581</v>
      </c>
      <c r="BA75" s="470">
        <f>L*Isw_max^2/(2*Vout_ripple*Vout)*1000000000*((1+M75)/2)^2</f>
        <v>22.244671714791423</v>
      </c>
      <c r="BB75" s="470">
        <f>L*F75^2/(2*Cout*Vout*Nps^2)*1000000000*((1+M75)/(1-M75))^2+F75*RCoutEsr</f>
        <v>17.099299730515909</v>
      </c>
      <c r="BC75" s="6">
        <f t="shared" si="136"/>
        <v>1.240642813384045</v>
      </c>
      <c r="BD75" s="470">
        <f>((BY75/I75/Efficiency)*AU75/Cin+(BY75/I75/Efficiency)*RCinEsr)*1000</f>
        <v>85.315319727984445</v>
      </c>
      <c r="BE75" s="6"/>
      <c r="BF75" s="178">
        <f t="shared" si="157"/>
        <v>0.93047315287402388</v>
      </c>
      <c r="BG75" s="178">
        <f t="shared" si="137"/>
        <v>1.0483949601569189</v>
      </c>
      <c r="BH75" s="178"/>
      <c r="BI75" s="543">
        <f t="shared" si="138"/>
        <v>9.5235831704125931E-2</v>
      </c>
      <c r="BJ75" s="543">
        <f t="shared" si="139"/>
        <v>0.10940760040470583</v>
      </c>
      <c r="BK75" s="543">
        <f t="shared" si="140"/>
        <v>1.7499999999999998E-2</v>
      </c>
      <c r="BL75" s="543">
        <f t="shared" si="141"/>
        <v>5.2216171874999995E-2</v>
      </c>
      <c r="BM75">
        <f t="shared" si="142"/>
        <v>3.9150000000000001E-3</v>
      </c>
      <c r="BN75" s="470">
        <f t="shared" si="158"/>
        <v>278.27460398383175</v>
      </c>
      <c r="BO75" s="543">
        <f t="shared" si="143"/>
        <v>0.22399999999999998</v>
      </c>
      <c r="BP75" s="543"/>
      <c r="BR75" s="470">
        <f t="shared" si="159"/>
        <v>223.99999999999997</v>
      </c>
      <c r="BS75" s="543">
        <f t="shared" si="144"/>
        <v>3.4631211528773069E-2</v>
      </c>
      <c r="BT75" s="543">
        <f t="shared" si="145"/>
        <v>4.3965279699297109E-2</v>
      </c>
      <c r="BU75" s="543">
        <f t="shared" si="146"/>
        <v>0</v>
      </c>
      <c r="BV75" s="543">
        <f t="shared" si="147"/>
        <v>7.7368421052631572E-2</v>
      </c>
      <c r="BW75" s="470">
        <f t="shared" si="160"/>
        <v>155.96491228070175</v>
      </c>
      <c r="BX75" s="178">
        <f t="shared" si="161"/>
        <v>0.65823951626453336</v>
      </c>
      <c r="BY75" s="6">
        <f t="shared" si="162"/>
        <v>6.7199999999999989</v>
      </c>
      <c r="BZ75" s="178">
        <f t="shared" si="163"/>
        <v>0.91078637189623413</v>
      </c>
      <c r="CA75" s="6">
        <f t="shared" si="164"/>
        <v>91.078637189623407</v>
      </c>
      <c r="CD75" s="577">
        <f t="shared" si="148"/>
        <v>-50</v>
      </c>
      <c r="CE75">
        <f t="shared" si="149"/>
        <v>-50</v>
      </c>
    </row>
    <row r="76" spans="5:83" x14ac:dyDescent="0.2">
      <c r="E76" s="175">
        <v>71</v>
      </c>
      <c r="F76" s="222">
        <f t="shared" si="150"/>
        <v>0.56799999999999995</v>
      </c>
      <c r="G76" s="222"/>
      <c r="H76" s="222">
        <f t="shared" si="105"/>
        <v>6.8159999999999989</v>
      </c>
      <c r="I76" s="556">
        <f t="shared" si="106"/>
        <v>13.5</v>
      </c>
      <c r="J76" s="177">
        <f t="shared" si="107"/>
        <v>12.25</v>
      </c>
      <c r="K76" s="452">
        <f t="shared" si="108"/>
        <v>25.75</v>
      </c>
      <c r="L76" s="452"/>
      <c r="M76" s="222">
        <f t="shared" si="109"/>
        <v>0.47572815533980584</v>
      </c>
      <c r="N76" s="177">
        <f t="shared" si="110"/>
        <v>12.507487864077669</v>
      </c>
      <c r="O76" s="177">
        <f t="shared" si="151"/>
        <v>6.8159999999999989</v>
      </c>
      <c r="P76" s="222">
        <f t="shared" si="111"/>
        <v>1.0422906553398057</v>
      </c>
      <c r="Q76" s="222">
        <f t="shared" si="112"/>
        <v>12</v>
      </c>
      <c r="R76" s="222">
        <f t="shared" si="113"/>
        <v>1.0971480582524269</v>
      </c>
      <c r="S76" s="177">
        <f t="shared" si="114"/>
        <v>32.889254937412865</v>
      </c>
      <c r="T76" s="177">
        <f t="shared" si="115"/>
        <v>12</v>
      </c>
      <c r="U76" s="222">
        <f t="shared" si="116"/>
        <v>2.2343095834825153</v>
      </c>
      <c r="V76" s="222">
        <f t="shared" si="117"/>
        <v>1.1585308951390818</v>
      </c>
      <c r="W76" s="222">
        <f t="shared" si="118"/>
        <v>1.2767483334185801</v>
      </c>
      <c r="X76" s="202">
        <f t="shared" si="119"/>
        <v>350</v>
      </c>
      <c r="Y76" s="452">
        <f t="shared" si="152"/>
        <v>350</v>
      </c>
      <c r="AA76" s="222">
        <f t="shared" si="120"/>
        <v>2.6213592233009715</v>
      </c>
      <c r="AB76" s="178">
        <f t="shared" si="121"/>
        <v>1.4979195561719838</v>
      </c>
      <c r="AC76" s="178">
        <f t="shared" si="122"/>
        <v>0.68715241775850722</v>
      </c>
      <c r="AD76" s="178"/>
      <c r="AE76" s="178">
        <f t="shared" si="123"/>
        <v>0.46857142857142853</v>
      </c>
      <c r="AF76" s="560">
        <f>MAX(12, F76/(0.5*AE76/1000000*Isw_min*Nps)/1000)</f>
        <v>2956.5734681737063</v>
      </c>
      <c r="AG76" s="543">
        <f t="shared" si="124"/>
        <v>6.723999999999998E-2</v>
      </c>
      <c r="AI76" s="178">
        <f t="shared" si="125"/>
        <v>2.4451886161237244</v>
      </c>
      <c r="AJ76" s="178">
        <f t="shared" si="126"/>
        <v>2.4451886161237244</v>
      </c>
      <c r="AK76" s="178">
        <f t="shared" si="127"/>
        <v>2.4038434193509071</v>
      </c>
      <c r="AM76" s="560">
        <f t="shared" si="128"/>
        <v>568</v>
      </c>
      <c r="AN76" s="470">
        <f t="shared" si="129"/>
        <v>350</v>
      </c>
      <c r="AP76">
        <f t="shared" si="130"/>
        <v>568</v>
      </c>
      <c r="AQ76" s="470">
        <f t="shared" si="131"/>
        <v>350</v>
      </c>
      <c r="AS76" s="6">
        <f t="shared" si="153"/>
        <v>2.8571428571428572</v>
      </c>
      <c r="AT76" s="6">
        <f t="shared" si="132"/>
        <v>1.26787557873082</v>
      </c>
      <c r="AU76" s="6">
        <f t="shared" si="154"/>
        <v>1.5892672784120372</v>
      </c>
      <c r="AV76" s="6">
        <f t="shared" si="133"/>
        <v>1.3972506377849854</v>
      </c>
      <c r="AW76" s="178">
        <f t="shared" si="155"/>
        <v>0.443756452555787</v>
      </c>
      <c r="AX76" s="178">
        <f t="shared" si="134"/>
        <v>7.3242105263157908</v>
      </c>
      <c r="AY76" s="178">
        <f t="shared" si="135"/>
        <v>0.68006019500143322</v>
      </c>
      <c r="AZ76" s="178">
        <f t="shared" si="156"/>
        <v>10.769944455138056</v>
      </c>
      <c r="BA76" s="470">
        <f>L*Isw_max^2/(2*Vout_ripple*Vout)*1000000000*((1+M76)/2)^2</f>
        <v>22.244671714791423</v>
      </c>
      <c r="BB76" s="470">
        <f>L*F76^2/(2*Cout*Vout*Nps^2)*1000000000*((1+M76)/(1-M76))^2+F76*RCoutEsr</f>
        <v>17.566997947251163</v>
      </c>
      <c r="BC76" s="6">
        <f t="shared" si="136"/>
        <v>1.2513113299725875</v>
      </c>
      <c r="BD76" s="470">
        <f>((BY76/I76/Efficiency)*AU76/Cin+(BY76/I76/Efficiency)*RCinEsr)*1000</f>
        <v>86.057900738061932</v>
      </c>
      <c r="BE76" s="6"/>
      <c r="BF76" s="178">
        <f t="shared" si="157"/>
        <v>0.94042481078646678</v>
      </c>
      <c r="BG76" s="178">
        <f t="shared" si="137"/>
        <v>1.0528929819300676</v>
      </c>
      <c r="BH76" s="178"/>
      <c r="BI76" s="543">
        <f t="shared" si="138"/>
        <v>9.7283870721703802E-2</v>
      </c>
      <c r="BJ76" s="543">
        <f t="shared" si="139"/>
        <v>0.11018631201407532</v>
      </c>
      <c r="BK76" s="543">
        <f t="shared" si="140"/>
        <v>1.7499999999999998E-2</v>
      </c>
      <c r="BL76" s="543">
        <f t="shared" si="141"/>
        <v>5.2216171874999995E-2</v>
      </c>
      <c r="BM76">
        <f t="shared" si="142"/>
        <v>3.9150000000000001E-3</v>
      </c>
      <c r="BN76" s="470">
        <f t="shared" si="158"/>
        <v>281.10135461077914</v>
      </c>
      <c r="BO76" s="543">
        <f t="shared" si="143"/>
        <v>0.22719999999999999</v>
      </c>
      <c r="BP76" s="543"/>
      <c r="BR76" s="470">
        <f t="shared" si="159"/>
        <v>227.2</v>
      </c>
      <c r="BS76" s="543">
        <f t="shared" si="144"/>
        <v>3.5375952989710475E-2</v>
      </c>
      <c r="BT76" s="543">
        <f t="shared" si="145"/>
        <v>4.4343345255903589E-2</v>
      </c>
      <c r="BU76" s="543">
        <f t="shared" si="146"/>
        <v>0</v>
      </c>
      <c r="BV76" s="543">
        <f t="shared" si="147"/>
        <v>7.8473684210526348E-2</v>
      </c>
      <c r="BW76" s="470">
        <f t="shared" si="160"/>
        <v>158.19298245614041</v>
      </c>
      <c r="BX76" s="178">
        <f t="shared" si="161"/>
        <v>0.66649433706691952</v>
      </c>
      <c r="BY76" s="6">
        <f t="shared" si="162"/>
        <v>6.8159999999999989</v>
      </c>
      <c r="BZ76" s="178">
        <f t="shared" si="163"/>
        <v>0.91092618222706467</v>
      </c>
      <c r="CA76" s="6">
        <f t="shared" si="164"/>
        <v>91.092618222706463</v>
      </c>
      <c r="CD76" s="577">
        <f t="shared" si="148"/>
        <v>-50</v>
      </c>
      <c r="CE76">
        <f t="shared" si="149"/>
        <v>-50</v>
      </c>
    </row>
    <row r="77" spans="5:83" x14ac:dyDescent="0.2">
      <c r="E77" s="175">
        <v>72</v>
      </c>
      <c r="F77" s="222">
        <f t="shared" si="150"/>
        <v>0.57599999999999996</v>
      </c>
      <c r="G77" s="222"/>
      <c r="H77" s="222">
        <f t="shared" si="105"/>
        <v>6.911999999999999</v>
      </c>
      <c r="I77" s="556">
        <f t="shared" si="106"/>
        <v>13.5</v>
      </c>
      <c r="J77" s="177">
        <f t="shared" si="107"/>
        <v>12.25</v>
      </c>
      <c r="K77" s="452">
        <f t="shared" si="108"/>
        <v>25.75</v>
      </c>
      <c r="L77" s="452"/>
      <c r="M77" s="222">
        <f t="shared" si="109"/>
        <v>0.47572815533980584</v>
      </c>
      <c r="N77" s="177">
        <f t="shared" si="110"/>
        <v>12.507487864077669</v>
      </c>
      <c r="O77" s="177">
        <f t="shared" si="151"/>
        <v>6.911999999999999</v>
      </c>
      <c r="P77" s="222">
        <f t="shared" si="111"/>
        <v>1.0422906553398057</v>
      </c>
      <c r="Q77" s="222">
        <f t="shared" si="112"/>
        <v>12</v>
      </c>
      <c r="R77" s="222">
        <f t="shared" si="113"/>
        <v>1.0971480582524269</v>
      </c>
      <c r="S77" s="177">
        <f t="shared" si="114"/>
        <v>32.248382572215817</v>
      </c>
      <c r="T77" s="177">
        <f t="shared" si="115"/>
        <v>12</v>
      </c>
      <c r="U77" s="222">
        <f t="shared" si="116"/>
        <v>2.2657787325456495</v>
      </c>
      <c r="V77" s="222">
        <f t="shared" si="117"/>
        <v>1.1748482316903368</v>
      </c>
      <c r="W77" s="222">
        <f t="shared" si="118"/>
        <v>1.2947307043117997</v>
      </c>
      <c r="X77" s="202">
        <f t="shared" si="119"/>
        <v>350</v>
      </c>
      <c r="Y77" s="452">
        <f t="shared" si="152"/>
        <v>350</v>
      </c>
      <c r="AA77" s="222">
        <f t="shared" si="120"/>
        <v>2.6213592233009715</v>
      </c>
      <c r="AB77" s="178">
        <f t="shared" si="121"/>
        <v>1.4979195561719838</v>
      </c>
      <c r="AC77" s="178">
        <f t="shared" si="122"/>
        <v>0.68715241775850722</v>
      </c>
      <c r="AD77" s="178"/>
      <c r="AE77" s="178">
        <f t="shared" si="123"/>
        <v>0.46857142857142853</v>
      </c>
      <c r="AF77" s="560">
        <f>MAX(12, F77/(0.5*AE77/1000000*Isw_min*Nps)/1000)</f>
        <v>2998.2153480071388</v>
      </c>
      <c r="AG77" s="543">
        <f t="shared" si="124"/>
        <v>6.723999999999998E-2</v>
      </c>
      <c r="AI77" s="178">
        <f t="shared" si="125"/>
        <v>2.46234804500437</v>
      </c>
      <c r="AJ77" s="178">
        <f t="shared" si="126"/>
        <v>2.46234804500437</v>
      </c>
      <c r="AK77" s="178">
        <f t="shared" si="127"/>
        <v>2.4165541074106445</v>
      </c>
      <c r="AM77" s="560">
        <f t="shared" si="128"/>
        <v>576</v>
      </c>
      <c r="AN77" s="470">
        <f t="shared" si="129"/>
        <v>350</v>
      </c>
      <c r="AP77">
        <f t="shared" si="130"/>
        <v>576</v>
      </c>
      <c r="AQ77" s="470">
        <f t="shared" si="131"/>
        <v>350</v>
      </c>
      <c r="AS77" s="6">
        <f t="shared" si="153"/>
        <v>2.8571428571428572</v>
      </c>
      <c r="AT77" s="6">
        <f t="shared" si="132"/>
        <v>1.2767730603726362</v>
      </c>
      <c r="AU77" s="6">
        <f t="shared" si="154"/>
        <v>1.580369796770221</v>
      </c>
      <c r="AV77" s="6">
        <f t="shared" si="133"/>
        <v>1.4070560257167828</v>
      </c>
      <c r="AW77" s="178">
        <f t="shared" si="155"/>
        <v>0.44687057113042267</v>
      </c>
      <c r="AX77" s="178">
        <f t="shared" si="134"/>
        <v>7.4273684210526332</v>
      </c>
      <c r="AY77" s="178">
        <f t="shared" si="135"/>
        <v>0.68099858390569379</v>
      </c>
      <c r="AZ77" s="178">
        <f t="shared" si="156"/>
        <v>10.906584237598343</v>
      </c>
      <c r="BA77" s="470">
        <f>L*Isw_max^2/(2*Vout_ripple*Vout)*1000000000*((1+M77)/2)^2</f>
        <v>22.244671714791423</v>
      </c>
      <c r="BB77" s="470">
        <f>L*F77^2/(2*Cout*Vout*Nps^2)*1000000000*((1+M77)/(1-M77))^2+F77*RCoutEsr</f>
        <v>18.040989755713163</v>
      </c>
      <c r="BC77" s="6">
        <f t="shared" si="136"/>
        <v>1.2618313231132212</v>
      </c>
      <c r="BD77" s="470">
        <f>((BY77/I77/Efficiency)*AU77/Cin+(BY77/I77/Efficiency)*RCinEsr)*1000</f>
        <v>86.790456415405572</v>
      </c>
      <c r="BE77" s="6"/>
      <c r="BF77" s="178">
        <f t="shared" si="157"/>
        <v>0.95034148797068108</v>
      </c>
      <c r="BG77" s="178">
        <f t="shared" si="137"/>
        <v>1.0573096461399658</v>
      </c>
      <c r="BH77" s="178"/>
      <c r="BI77" s="543">
        <f t="shared" si="138"/>
        <v>9.9346383813416109E-2</v>
      </c>
      <c r="BJ77" s="543">
        <f t="shared" si="139"/>
        <v>0.11095955877800942</v>
      </c>
      <c r="BK77" s="543">
        <f t="shared" si="140"/>
        <v>1.7499999999999998E-2</v>
      </c>
      <c r="BL77" s="543">
        <f t="shared" si="141"/>
        <v>5.2216171874999995E-2</v>
      </c>
      <c r="BM77">
        <f t="shared" si="142"/>
        <v>3.9150000000000001E-3</v>
      </c>
      <c r="BN77" s="470">
        <f t="shared" si="158"/>
        <v>283.93711446642556</v>
      </c>
      <c r="BO77" s="543">
        <f t="shared" si="143"/>
        <v>0.23039999999999999</v>
      </c>
      <c r="BP77" s="543"/>
      <c r="BR77" s="470">
        <f t="shared" si="159"/>
        <v>230.4</v>
      </c>
      <c r="BS77" s="543">
        <f t="shared" si="144"/>
        <v>3.6125957750333129E-2</v>
      </c>
      <c r="BT77" s="543">
        <f t="shared" si="145"/>
        <v>4.4716147512824787E-2</v>
      </c>
      <c r="BU77" s="543">
        <f t="shared" si="146"/>
        <v>0</v>
      </c>
      <c r="BV77" s="543">
        <f t="shared" si="147"/>
        <v>7.9578947368421069E-2</v>
      </c>
      <c r="BW77" s="470">
        <f t="shared" si="160"/>
        <v>160.42105263157896</v>
      </c>
      <c r="BX77" s="178">
        <f t="shared" si="161"/>
        <v>0.67475816709800451</v>
      </c>
      <c r="BY77" s="6">
        <f t="shared" si="162"/>
        <v>6.911999999999999</v>
      </c>
      <c r="BZ77" s="178">
        <f t="shared" si="163"/>
        <v>0.91106106821431676</v>
      </c>
      <c r="CA77" s="6">
        <f t="shared" si="164"/>
        <v>91.10610682143168</v>
      </c>
      <c r="CD77" s="577">
        <f t="shared" si="148"/>
        <v>-50</v>
      </c>
      <c r="CE77">
        <f t="shared" si="149"/>
        <v>-50</v>
      </c>
    </row>
    <row r="78" spans="5:83" x14ac:dyDescent="0.2">
      <c r="E78" s="175">
        <v>73</v>
      </c>
      <c r="F78" s="222">
        <f t="shared" si="150"/>
        <v>0.58399999999999996</v>
      </c>
      <c r="G78" s="222"/>
      <c r="H78" s="222">
        <f t="shared" si="105"/>
        <v>7.0079999999999991</v>
      </c>
      <c r="I78" s="556">
        <f t="shared" si="106"/>
        <v>13.5</v>
      </c>
      <c r="J78" s="177">
        <f t="shared" si="107"/>
        <v>12.25</v>
      </c>
      <c r="K78" s="452">
        <f t="shared" si="108"/>
        <v>25.75</v>
      </c>
      <c r="L78" s="452"/>
      <c r="M78" s="222">
        <f t="shared" si="109"/>
        <v>0.47572815533980584</v>
      </c>
      <c r="N78" s="177">
        <f t="shared" si="110"/>
        <v>12.507487864077669</v>
      </c>
      <c r="O78" s="177">
        <f t="shared" si="151"/>
        <v>7.0079999999999991</v>
      </c>
      <c r="P78" s="222">
        <f t="shared" si="111"/>
        <v>1.0422906553398057</v>
      </c>
      <c r="Q78" s="222">
        <f t="shared" si="112"/>
        <v>12</v>
      </c>
      <c r="R78" s="222">
        <f t="shared" si="113"/>
        <v>1.0971480582524269</v>
      </c>
      <c r="S78" s="177">
        <f t="shared" si="114"/>
        <v>31.625145568025751</v>
      </c>
      <c r="T78" s="177">
        <f t="shared" si="115"/>
        <v>12</v>
      </c>
      <c r="U78" s="222">
        <f t="shared" si="116"/>
        <v>2.2972478816087833</v>
      </c>
      <c r="V78" s="222">
        <f t="shared" si="117"/>
        <v>1.1911655682415914</v>
      </c>
      <c r="W78" s="222">
        <f t="shared" si="118"/>
        <v>1.3127130752050189</v>
      </c>
      <c r="X78" s="202">
        <f t="shared" si="119"/>
        <v>350</v>
      </c>
      <c r="Y78" s="452">
        <f t="shared" si="152"/>
        <v>350</v>
      </c>
      <c r="AA78" s="222">
        <f t="shared" si="120"/>
        <v>2.6213592233009715</v>
      </c>
      <c r="AB78" s="178">
        <f t="shared" si="121"/>
        <v>1.4979195561719838</v>
      </c>
      <c r="AC78" s="178">
        <f t="shared" si="122"/>
        <v>0.68715241775850722</v>
      </c>
      <c r="AD78" s="178"/>
      <c r="AE78" s="178">
        <f t="shared" si="123"/>
        <v>0.46857142857142853</v>
      </c>
      <c r="AF78" s="560">
        <f>MAX(12, F78/(0.5*AE78/1000000*Isw_min*Nps)/1000)</f>
        <v>3039.8572278405718</v>
      </c>
      <c r="AG78" s="543">
        <f t="shared" si="124"/>
        <v>6.723999999999998E-2</v>
      </c>
      <c r="AI78" s="178">
        <f t="shared" si="125"/>
        <v>2.4793887192315434</v>
      </c>
      <c r="AJ78" s="178">
        <f t="shared" si="126"/>
        <v>2.4793887192315434</v>
      </c>
      <c r="AK78" s="178">
        <f t="shared" si="127"/>
        <v>2.4291768290604026</v>
      </c>
      <c r="AM78" s="560">
        <f t="shared" si="128"/>
        <v>584</v>
      </c>
      <c r="AN78" s="470">
        <f t="shared" si="129"/>
        <v>350</v>
      </c>
      <c r="AP78">
        <f t="shared" si="130"/>
        <v>584</v>
      </c>
      <c r="AQ78" s="470">
        <f t="shared" si="131"/>
        <v>350</v>
      </c>
      <c r="AS78" s="6">
        <f t="shared" si="153"/>
        <v>2.8571428571428572</v>
      </c>
      <c r="AT78" s="6">
        <f t="shared" si="132"/>
        <v>1.285608965527467</v>
      </c>
      <c r="AU78" s="6">
        <f t="shared" si="154"/>
        <v>1.5715338916153903</v>
      </c>
      <c r="AV78" s="6">
        <f t="shared" si="133"/>
        <v>1.4167935538465963</v>
      </c>
      <c r="AW78" s="178">
        <f t="shared" si="155"/>
        <v>0.4499631379346134</v>
      </c>
      <c r="AX78" s="178">
        <f t="shared" si="134"/>
        <v>7.5305263157894746</v>
      </c>
      <c r="AY78" s="178">
        <f t="shared" si="135"/>
        <v>0.68187759548321802</v>
      </c>
      <c r="AZ78" s="178">
        <f t="shared" si="156"/>
        <v>11.04380957179405</v>
      </c>
      <c r="BA78" s="470">
        <f>L*Isw_max^2/(2*Vout_ripple*Vout)*1000000000*((1+M78)/2)^2</f>
        <v>22.244671714791423</v>
      </c>
      <c r="BB78" s="470">
        <f>L*F78^2/(2*Cout*Vout*Nps^2)*1000000000*((1+M78)/(1-M78))^2+F78*RCoutEsr</f>
        <v>18.521275155901893</v>
      </c>
      <c r="BC78" s="6">
        <f t="shared" si="136"/>
        <v>1.2722038278756078</v>
      </c>
      <c r="BD78" s="470">
        <f>((BY78/I78/Efficiency)*AU78/Cin+(BY78/I78/Efficiency)*RCinEsr)*1000</f>
        <v>87.513056627217594</v>
      </c>
      <c r="BE78" s="6"/>
      <c r="BF78" s="178">
        <f t="shared" si="157"/>
        <v>0.96022379071703767</v>
      </c>
      <c r="BG78" s="178">
        <f t="shared" si="137"/>
        <v>1.0616464000591472</v>
      </c>
      <c r="BH78" s="178"/>
      <c r="BI78" s="543">
        <f t="shared" si="138"/>
        <v>0.1014232701084897</v>
      </c>
      <c r="BJ78" s="543">
        <f t="shared" si="139"/>
        <v>0.11172745416037143</v>
      </c>
      <c r="BK78" s="543">
        <f t="shared" si="140"/>
        <v>1.7499999999999998E-2</v>
      </c>
      <c r="BL78" s="543">
        <f t="shared" si="141"/>
        <v>5.2216171874999995E-2</v>
      </c>
      <c r="BM78">
        <f t="shared" si="142"/>
        <v>3.9150000000000001E-3</v>
      </c>
      <c r="BN78" s="470">
        <f t="shared" si="158"/>
        <v>286.78189614386105</v>
      </c>
      <c r="BO78" s="543">
        <f t="shared" si="143"/>
        <v>0.2336</v>
      </c>
      <c r="BP78" s="543"/>
      <c r="BR78" s="470">
        <f t="shared" si="159"/>
        <v>233.6</v>
      </c>
      <c r="BS78" s="543">
        <f t="shared" si="144"/>
        <v>3.6881189130359891E-2</v>
      </c>
      <c r="BT78" s="543">
        <f t="shared" si="145"/>
        <v>4.5083723150341877E-2</v>
      </c>
      <c r="BU78" s="543">
        <f t="shared" si="146"/>
        <v>0</v>
      </c>
      <c r="BV78" s="543">
        <f t="shared" si="147"/>
        <v>8.0684210526315817E-2</v>
      </c>
      <c r="BW78" s="470">
        <f t="shared" si="160"/>
        <v>162.64912280701759</v>
      </c>
      <c r="BX78" s="178">
        <f t="shared" si="161"/>
        <v>0.6830310189508787</v>
      </c>
      <c r="BY78" s="6">
        <f t="shared" si="162"/>
        <v>7.0079999999999991</v>
      </c>
      <c r="BZ78" s="178">
        <f t="shared" si="163"/>
        <v>0.91119122816331455</v>
      </c>
      <c r="CA78" s="6">
        <f t="shared" si="164"/>
        <v>91.119122816331455</v>
      </c>
      <c r="CD78" s="577">
        <f t="shared" si="148"/>
        <v>-50</v>
      </c>
      <c r="CE78">
        <f t="shared" si="149"/>
        <v>-50</v>
      </c>
    </row>
    <row r="79" spans="5:83" x14ac:dyDescent="0.2">
      <c r="E79" s="175">
        <v>74</v>
      </c>
      <c r="F79" s="222">
        <f t="shared" si="150"/>
        <v>0.59199999999999997</v>
      </c>
      <c r="G79" s="222"/>
      <c r="H79" s="222">
        <f t="shared" si="105"/>
        <v>7.1039999999999992</v>
      </c>
      <c r="I79" s="556">
        <f t="shared" si="106"/>
        <v>13.5</v>
      </c>
      <c r="J79" s="177">
        <f t="shared" si="107"/>
        <v>12.25</v>
      </c>
      <c r="K79" s="452">
        <f t="shared" si="108"/>
        <v>25.75</v>
      </c>
      <c r="L79" s="452"/>
      <c r="M79" s="222">
        <f t="shared" si="109"/>
        <v>0.47572815533980584</v>
      </c>
      <c r="N79" s="177">
        <f t="shared" si="110"/>
        <v>12.507487864077669</v>
      </c>
      <c r="O79" s="177">
        <f t="shared" si="151"/>
        <v>7.1039999999999992</v>
      </c>
      <c r="P79" s="222">
        <f t="shared" si="111"/>
        <v>1.0422906553398057</v>
      </c>
      <c r="Q79" s="222">
        <f t="shared" si="112"/>
        <v>12</v>
      </c>
      <c r="R79" s="222">
        <f t="shared" si="113"/>
        <v>1.0971480582524269</v>
      </c>
      <c r="S79" s="177">
        <f t="shared" si="114"/>
        <v>31.018830232177695</v>
      </c>
      <c r="T79" s="177">
        <f t="shared" si="115"/>
        <v>12</v>
      </c>
      <c r="U79" s="222">
        <f t="shared" si="116"/>
        <v>2.3287170306719176</v>
      </c>
      <c r="V79" s="222">
        <f t="shared" si="117"/>
        <v>1.2074829047928461</v>
      </c>
      <c r="W79" s="222">
        <f t="shared" si="118"/>
        <v>1.3306954460982385</v>
      </c>
      <c r="X79" s="202">
        <f t="shared" si="119"/>
        <v>350</v>
      </c>
      <c r="Y79" s="452">
        <f t="shared" si="152"/>
        <v>350</v>
      </c>
      <c r="AA79" s="222">
        <f t="shared" si="120"/>
        <v>2.6213592233009715</v>
      </c>
      <c r="AB79" s="178">
        <f t="shared" si="121"/>
        <v>1.4979195561719838</v>
      </c>
      <c r="AC79" s="178">
        <f t="shared" si="122"/>
        <v>0.68715241775850722</v>
      </c>
      <c r="AD79" s="178"/>
      <c r="AE79" s="178">
        <f t="shared" si="123"/>
        <v>0.46857142857142853</v>
      </c>
      <c r="AF79" s="560">
        <f>MAX(12, F79/(0.5*AE79/1000000*Isw_min*Nps)/1000)</f>
        <v>3081.4991076740039</v>
      </c>
      <c r="AG79" s="543">
        <f t="shared" si="124"/>
        <v>6.723999999999998E-2</v>
      </c>
      <c r="AI79" s="178">
        <f t="shared" si="125"/>
        <v>2.496313070784276</v>
      </c>
      <c r="AJ79" s="178">
        <f t="shared" si="126"/>
        <v>2.496313070784276</v>
      </c>
      <c r="AK79" s="178">
        <f t="shared" si="127"/>
        <v>2.4417133857661302</v>
      </c>
      <c r="AM79" s="560">
        <f t="shared" si="128"/>
        <v>592</v>
      </c>
      <c r="AN79" s="470">
        <f t="shared" si="129"/>
        <v>350</v>
      </c>
      <c r="AP79">
        <f t="shared" si="130"/>
        <v>592</v>
      </c>
      <c r="AQ79" s="470">
        <f t="shared" si="131"/>
        <v>350</v>
      </c>
      <c r="AS79" s="6">
        <f t="shared" si="153"/>
        <v>2.8571428571428572</v>
      </c>
      <c r="AT79" s="6">
        <f t="shared" si="132"/>
        <v>1.2943845552214766</v>
      </c>
      <c r="AU79" s="6">
        <f t="shared" si="154"/>
        <v>1.5627583019213807</v>
      </c>
      <c r="AV79" s="6">
        <f t="shared" si="133"/>
        <v>1.4264646118767292</v>
      </c>
      <c r="AW79" s="178">
        <f t="shared" si="155"/>
        <v>0.4530345943275168</v>
      </c>
      <c r="AX79" s="178">
        <f t="shared" si="134"/>
        <v>7.633684210526317</v>
      </c>
      <c r="AY79" s="178">
        <f t="shared" si="135"/>
        <v>0.6826984457235219</v>
      </c>
      <c r="AZ79" s="178">
        <f t="shared" si="156"/>
        <v>11.181634085069815</v>
      </c>
      <c r="BA79" s="470">
        <f>L*Isw_max^2/(2*Vout_ripple*Vout)*1000000000*((1+M79)/2)^2</f>
        <v>22.244671714791423</v>
      </c>
      <c r="BB79" s="470">
        <f>L*F79^2/(2*Cout*Vout*Nps^2)*1000000000*((1+M79)/(1-M79))^2+F79*RCoutEsr</f>
        <v>19.007854147817373</v>
      </c>
      <c r="BC79" s="6">
        <f t="shared" si="136"/>
        <v>1.2824298579856457</v>
      </c>
      <c r="BD79" s="470">
        <f>((BY79/I79/Efficiency)*AU79/Cin+(BY79/I79/Efficiency)*RCinEsr)*1000</f>
        <v>88.225769799996016</v>
      </c>
      <c r="BE79" s="6"/>
      <c r="BF79" s="178">
        <f t="shared" si="157"/>
        <v>0.97007230665913891</v>
      </c>
      <c r="BG79" s="178">
        <f t="shared" si="137"/>
        <v>1.0659046403450723</v>
      </c>
      <c r="BH79" s="178"/>
      <c r="BI79" s="543">
        <f t="shared" si="138"/>
        <v>0.10351443081616807</v>
      </c>
      <c r="BJ79" s="543">
        <f t="shared" si="139"/>
        <v>0.11249010775221642</v>
      </c>
      <c r="BK79" s="543">
        <f t="shared" si="140"/>
        <v>1.7499999999999998E-2</v>
      </c>
      <c r="BL79" s="543">
        <f t="shared" si="141"/>
        <v>5.2216171874999995E-2</v>
      </c>
      <c r="BM79">
        <f t="shared" si="142"/>
        <v>3.9150000000000001E-3</v>
      </c>
      <c r="BN79" s="470">
        <f t="shared" si="158"/>
        <v>289.63571044338443</v>
      </c>
      <c r="BO79" s="543">
        <f t="shared" si="143"/>
        <v>0.23680000000000001</v>
      </c>
      <c r="BP79" s="543"/>
      <c r="BR79" s="470">
        <f t="shared" si="159"/>
        <v>236.8</v>
      </c>
      <c r="BS79" s="543">
        <f t="shared" si="144"/>
        <v>3.7641611205879298E-2</v>
      </c>
      <c r="BT79" s="543">
        <f t="shared" si="145"/>
        <v>4.5446108092366315E-2</v>
      </c>
      <c r="BU79" s="543">
        <f t="shared" si="146"/>
        <v>0</v>
      </c>
      <c r="BV79" s="543">
        <f t="shared" si="147"/>
        <v>8.1789473684210551E-2</v>
      </c>
      <c r="BW79" s="470">
        <f t="shared" si="160"/>
        <v>164.87719298245617</v>
      </c>
      <c r="BX79" s="178">
        <f t="shared" si="161"/>
        <v>0.69131290342584051</v>
      </c>
      <c r="BY79" s="6">
        <f t="shared" si="162"/>
        <v>7.1039999999999992</v>
      </c>
      <c r="BZ79" s="178">
        <f t="shared" si="163"/>
        <v>0.91131685001098206</v>
      </c>
      <c r="CA79" s="6">
        <f t="shared" si="164"/>
        <v>91.131685001098205</v>
      </c>
      <c r="CD79" s="577">
        <f t="shared" si="148"/>
        <v>-50</v>
      </c>
      <c r="CE79">
        <f t="shared" si="149"/>
        <v>-50</v>
      </c>
    </row>
    <row r="80" spans="5:83" x14ac:dyDescent="0.2">
      <c r="E80" s="175">
        <v>75</v>
      </c>
      <c r="F80" s="222">
        <f t="shared" si="150"/>
        <v>0.60000000000000009</v>
      </c>
      <c r="G80" s="222"/>
      <c r="H80" s="222">
        <f t="shared" si="105"/>
        <v>7.2000000000000011</v>
      </c>
      <c r="I80" s="556">
        <f t="shared" si="106"/>
        <v>13.5</v>
      </c>
      <c r="J80" s="177">
        <f t="shared" si="107"/>
        <v>12.25</v>
      </c>
      <c r="K80" s="452">
        <f t="shared" si="108"/>
        <v>25.75</v>
      </c>
      <c r="L80" s="452"/>
      <c r="M80" s="222">
        <f t="shared" si="109"/>
        <v>0.47572815533980584</v>
      </c>
      <c r="N80" s="177">
        <f t="shared" si="110"/>
        <v>12.507487864077669</v>
      </c>
      <c r="O80" s="177">
        <f t="shared" si="151"/>
        <v>7.2000000000000011</v>
      </c>
      <c r="P80" s="222">
        <f t="shared" si="111"/>
        <v>1.0422906553398057</v>
      </c>
      <c r="Q80" s="222">
        <f t="shared" si="112"/>
        <v>12</v>
      </c>
      <c r="R80" s="222">
        <f t="shared" si="113"/>
        <v>1.0971480582524269</v>
      </c>
      <c r="S80" s="177">
        <f t="shared" si="114"/>
        <v>30.4287609617922</v>
      </c>
      <c r="T80" s="177">
        <f t="shared" si="115"/>
        <v>12</v>
      </c>
      <c r="U80" s="222">
        <f t="shared" si="116"/>
        <v>2.3601861797350523</v>
      </c>
      <c r="V80" s="222">
        <f t="shared" si="117"/>
        <v>1.2238002413441011</v>
      </c>
      <c r="W80" s="222">
        <f t="shared" si="118"/>
        <v>1.3486778169914584</v>
      </c>
      <c r="X80" s="202">
        <f t="shared" si="119"/>
        <v>350</v>
      </c>
      <c r="Y80" s="452">
        <f t="shared" si="152"/>
        <v>350</v>
      </c>
      <c r="AA80" s="222">
        <f t="shared" si="120"/>
        <v>2.6213592233009715</v>
      </c>
      <c r="AB80" s="178">
        <f t="shared" si="121"/>
        <v>1.4979195561719838</v>
      </c>
      <c r="AC80" s="178">
        <f t="shared" si="122"/>
        <v>0.68715241775850722</v>
      </c>
      <c r="AD80" s="178"/>
      <c r="AE80" s="178">
        <f t="shared" si="123"/>
        <v>0.46857142857142853</v>
      </c>
      <c r="AF80" s="560">
        <f>MAX(12, F80/(0.5*AE80/1000000*Isw_min*Nps)/1000)</f>
        <v>3123.1409875074373</v>
      </c>
      <c r="AG80" s="543">
        <f t="shared" si="124"/>
        <v>6.723999999999998E-2</v>
      </c>
      <c r="AI80" s="178">
        <f t="shared" si="125"/>
        <v>2.5131234497501733</v>
      </c>
      <c r="AJ80" s="178">
        <f t="shared" si="126"/>
        <v>2.5131234497501733</v>
      </c>
      <c r="AK80" s="178">
        <f t="shared" si="127"/>
        <v>2.4541655183334621</v>
      </c>
      <c r="AM80" s="560">
        <f t="shared" si="128"/>
        <v>600.00000000000011</v>
      </c>
      <c r="AN80" s="470">
        <f t="shared" si="129"/>
        <v>350</v>
      </c>
      <c r="AP80">
        <f t="shared" si="130"/>
        <v>600.00000000000011</v>
      </c>
      <c r="AQ80" s="470">
        <f t="shared" si="131"/>
        <v>350</v>
      </c>
      <c r="AS80" s="6">
        <f t="shared" si="153"/>
        <v>2.8571428571428572</v>
      </c>
      <c r="AT80" s="6">
        <f t="shared" si="132"/>
        <v>1.3031010480186083</v>
      </c>
      <c r="AU80" s="6">
        <f t="shared" si="154"/>
        <v>1.5540418091242489</v>
      </c>
      <c r="AV80" s="6">
        <f t="shared" si="133"/>
        <v>1.4360705427143845</v>
      </c>
      <c r="AW80" s="178">
        <f t="shared" si="155"/>
        <v>0.4560853668065129</v>
      </c>
      <c r="AX80" s="178">
        <f t="shared" si="134"/>
        <v>7.7368421052631593</v>
      </c>
      <c r="AY80" s="178">
        <f t="shared" si="135"/>
        <v>0.68346230967040822</v>
      </c>
      <c r="AZ80" s="178">
        <f t="shared" si="156"/>
        <v>11.32007134233073</v>
      </c>
      <c r="BA80" s="470">
        <f>L*Isw_max^2/(2*Vout_ripple*Vout)*1000000000*((1+M80)/2)^2</f>
        <v>22.244671714791423</v>
      </c>
      <c r="BB80" s="470">
        <f>L*F80^2/(2*Cout*Vout*Nps^2)*1000000000*((1+M80)/(1-M80))^2+F80*RCoutEsr</f>
        <v>19.500726731459597</v>
      </c>
      <c r="BC80" s="6">
        <f t="shared" si="136"/>
        <v>1.2925104065490831</v>
      </c>
      <c r="BD80" s="470">
        <f>((BY80/I80/Efficiency)*AU80/Cin+(BY80/I80/Efficiency)*RCinEsr)*1000</f>
        <v>88.928662968378902</v>
      </c>
      <c r="BE80" s="6"/>
      <c r="BF80" s="178">
        <f t="shared" si="157"/>
        <v>0.97988760559191634</v>
      </c>
      <c r="BG80" s="178">
        <f t="shared" si="137"/>
        <v>1.0700857153995087</v>
      </c>
      <c r="BH80" s="178"/>
      <c r="BI80" s="543">
        <f t="shared" si="138"/>
        <v>0.10561976915519249</v>
      </c>
      <c r="BJ80" s="543">
        <f t="shared" si="139"/>
        <v>0.1132476254543672</v>
      </c>
      <c r="BK80" s="543">
        <f t="shared" si="140"/>
        <v>1.7499999999999998E-2</v>
      </c>
      <c r="BL80" s="543">
        <f t="shared" si="141"/>
        <v>5.2216171874999995E-2</v>
      </c>
      <c r="BM80">
        <f t="shared" si="142"/>
        <v>3.9150000000000001E-3</v>
      </c>
      <c r="BN80" s="470">
        <f t="shared" si="158"/>
        <v>292.4985664845596</v>
      </c>
      <c r="BO80" s="543">
        <f t="shared" si="143"/>
        <v>0.24000000000000005</v>
      </c>
      <c r="BP80" s="543"/>
      <c r="BR80" s="470">
        <f t="shared" si="159"/>
        <v>240.00000000000006</v>
      </c>
      <c r="BS80" s="543">
        <f t="shared" si="144"/>
        <v>3.8407188783706359E-2</v>
      </c>
      <c r="BT80" s="543">
        <f t="shared" si="145"/>
        <v>4.5803337532083134E-2</v>
      </c>
      <c r="BU80" s="543">
        <f t="shared" si="146"/>
        <v>0</v>
      </c>
      <c r="BV80" s="543">
        <f t="shared" si="147"/>
        <v>8.2894736842105285E-2</v>
      </c>
      <c r="BW80" s="470">
        <f t="shared" si="160"/>
        <v>167.10526315789477</v>
      </c>
      <c r="BX80" s="178">
        <f t="shared" si="161"/>
        <v>0.69960382964245427</v>
      </c>
      <c r="BY80" s="6">
        <f t="shared" si="162"/>
        <v>7.2000000000000011</v>
      </c>
      <c r="BZ80" s="178">
        <f t="shared" si="163"/>
        <v>0.9114381119952798</v>
      </c>
      <c r="CA80" s="6">
        <f t="shared" si="164"/>
        <v>91.143811199527974</v>
      </c>
      <c r="CD80" s="577">
        <f t="shared" si="148"/>
        <v>-50</v>
      </c>
      <c r="CE80">
        <f t="shared" si="149"/>
        <v>-50</v>
      </c>
    </row>
    <row r="81" spans="5:83" x14ac:dyDescent="0.2">
      <c r="E81" s="175">
        <v>76</v>
      </c>
      <c r="F81" s="222">
        <f t="shared" si="150"/>
        <v>0.6080000000000001</v>
      </c>
      <c r="G81" s="222"/>
      <c r="H81" s="222">
        <f t="shared" si="105"/>
        <v>7.2960000000000012</v>
      </c>
      <c r="I81" s="556">
        <f t="shared" si="106"/>
        <v>13.5</v>
      </c>
      <c r="J81" s="177">
        <f t="shared" si="107"/>
        <v>12.25</v>
      </c>
      <c r="K81" s="452">
        <f t="shared" si="108"/>
        <v>25.75</v>
      </c>
      <c r="L81" s="452"/>
      <c r="M81" s="222">
        <f t="shared" si="109"/>
        <v>0.47572815533980584</v>
      </c>
      <c r="N81" s="177">
        <f t="shared" si="110"/>
        <v>12.507487864077669</v>
      </c>
      <c r="O81" s="177">
        <f t="shared" si="151"/>
        <v>7.2960000000000012</v>
      </c>
      <c r="P81" s="222">
        <f t="shared" si="111"/>
        <v>1.0422906553398057</v>
      </c>
      <c r="Q81" s="222">
        <f t="shared" si="112"/>
        <v>12</v>
      </c>
      <c r="R81" s="222">
        <f t="shared" si="113"/>
        <v>1.0971480582524269</v>
      </c>
      <c r="S81" s="177">
        <f t="shared" si="114"/>
        <v>29.85429773852189</v>
      </c>
      <c r="T81" s="177">
        <f t="shared" si="115"/>
        <v>12</v>
      </c>
      <c r="U81" s="222">
        <f t="shared" si="116"/>
        <v>2.3916553287981861</v>
      </c>
      <c r="V81" s="222">
        <f t="shared" si="117"/>
        <v>1.2401175778953557</v>
      </c>
      <c r="W81" s="222">
        <f t="shared" si="118"/>
        <v>1.3666601878846778</v>
      </c>
      <c r="X81" s="202">
        <f t="shared" si="119"/>
        <v>350</v>
      </c>
      <c r="Y81" s="452">
        <f t="shared" si="152"/>
        <v>350</v>
      </c>
      <c r="AA81" s="222">
        <f t="shared" si="120"/>
        <v>2.6213592233009715</v>
      </c>
      <c r="AB81" s="178">
        <f t="shared" si="121"/>
        <v>1.4979195561719838</v>
      </c>
      <c r="AC81" s="178">
        <f t="shared" si="122"/>
        <v>0.68715241775850722</v>
      </c>
      <c r="AD81" s="178"/>
      <c r="AE81" s="178">
        <f t="shared" si="123"/>
        <v>0.46857142857142853</v>
      </c>
      <c r="AF81" s="560">
        <f>MAX(12, F81/(0.5*AE81/1000000*Isw_min*Nps)/1000)</f>
        <v>3164.7828673408699</v>
      </c>
      <c r="AG81" s="543">
        <f t="shared" si="124"/>
        <v>6.723999999999998E-2</v>
      </c>
      <c r="AI81" s="178">
        <f t="shared" si="125"/>
        <v>2.529822128134704</v>
      </c>
      <c r="AJ81" s="178">
        <f t="shared" si="126"/>
        <v>2.529822128134704</v>
      </c>
      <c r="AK81" s="178">
        <f t="shared" si="127"/>
        <v>2.4665349097294103</v>
      </c>
      <c r="AM81" s="560">
        <f t="shared" si="128"/>
        <v>608.00000000000011</v>
      </c>
      <c r="AN81" s="470">
        <f t="shared" si="129"/>
        <v>350</v>
      </c>
      <c r="AP81">
        <f t="shared" si="130"/>
        <v>608.00000000000011</v>
      </c>
      <c r="AQ81" s="470">
        <f t="shared" si="131"/>
        <v>350</v>
      </c>
      <c r="AS81" s="6">
        <f t="shared" si="153"/>
        <v>2.8571428571428572</v>
      </c>
      <c r="AT81" s="6">
        <f t="shared" si="132"/>
        <v>1.3117596219957723</v>
      </c>
      <c r="AU81" s="6">
        <f t="shared" si="154"/>
        <v>1.5453832351470849</v>
      </c>
      <c r="AV81" s="6">
        <f t="shared" si="133"/>
        <v>1.4456126446484021</v>
      </c>
      <c r="AW81" s="178">
        <f t="shared" si="155"/>
        <v>0.45911586769852031</v>
      </c>
      <c r="AX81" s="178">
        <f t="shared" si="134"/>
        <v>7.8400000000000016</v>
      </c>
      <c r="AY81" s="178">
        <f t="shared" si="135"/>
        <v>0.6841703233266111</v>
      </c>
      <c r="AZ81" s="178">
        <f t="shared" si="156"/>
        <v>11.45913485677063</v>
      </c>
      <c r="BA81" s="470">
        <f>L*Isw_max^2/(2*Vout_ripple*Vout)*1000000000*((1+M81)/2)^2</f>
        <v>22.244671714791423</v>
      </c>
      <c r="BB81" s="470">
        <f>L*F81^2/(2*Cout*Vout*Nps^2)*1000000000*((1+M81)/(1-M81))^2+F81*RCoutEsr</f>
        <v>19.99989290682856</v>
      </c>
      <c r="BC81" s="6">
        <f t="shared" si="136"/>
        <v>1.3024464467412469</v>
      </c>
      <c r="BD81" s="470">
        <f>((BY81/I81/Efficiency)*AU81/Cin+(BY81/I81/Efficiency)*RCinEsr)*1000</f>
        <v>89.621801821700828</v>
      </c>
      <c r="BE81" s="6"/>
      <c r="BF81" s="178">
        <f t="shared" si="157"/>
        <v>0.98967024024344097</v>
      </c>
      <c r="BG81" s="178">
        <f t="shared" si="137"/>
        <v>1.0741909275868158</v>
      </c>
      <c r="BH81" s="178"/>
      <c r="BI81" s="543">
        <f t="shared" si="138"/>
        <v>0.10773919028658613</v>
      </c>
      <c r="BJ81" s="543">
        <f t="shared" si="139"/>
        <v>0.11400010964907012</v>
      </c>
      <c r="BK81" s="543">
        <f t="shared" si="140"/>
        <v>1.7499999999999998E-2</v>
      </c>
      <c r="BL81" s="543">
        <f t="shared" si="141"/>
        <v>5.2216171874999995E-2</v>
      </c>
      <c r="BM81">
        <f t="shared" si="142"/>
        <v>3.9150000000000001E-3</v>
      </c>
      <c r="BN81" s="470">
        <f t="shared" si="158"/>
        <v>295.37047181065623</v>
      </c>
      <c r="BO81" s="543">
        <f t="shared" si="143"/>
        <v>0.24320000000000006</v>
      </c>
      <c r="BP81" s="543"/>
      <c r="BR81" s="470">
        <f t="shared" si="159"/>
        <v>243.20000000000005</v>
      </c>
      <c r="BS81" s="543">
        <f t="shared" si="144"/>
        <v>3.9177887376940411E-2</v>
      </c>
      <c r="BT81" s="543">
        <f t="shared" si="145"/>
        <v>4.6155445956392954E-2</v>
      </c>
      <c r="BU81" s="543">
        <f t="shared" si="146"/>
        <v>0</v>
      </c>
      <c r="BV81" s="543">
        <f t="shared" si="147"/>
        <v>8.4000000000000047E-2</v>
      </c>
      <c r="BW81" s="470">
        <f t="shared" si="160"/>
        <v>169.33333333333343</v>
      </c>
      <c r="BX81" s="178">
        <f t="shared" si="161"/>
        <v>0.70790380514398976</v>
      </c>
      <c r="BY81" s="6">
        <f t="shared" si="162"/>
        <v>7.2960000000000012</v>
      </c>
      <c r="BZ81" s="178">
        <f t="shared" si="163"/>
        <v>0.91155518327331331</v>
      </c>
      <c r="CA81" s="6">
        <f t="shared" si="164"/>
        <v>91.155518327331336</v>
      </c>
      <c r="CD81" s="577">
        <f t="shared" si="148"/>
        <v>-50</v>
      </c>
      <c r="CE81">
        <f t="shared" si="149"/>
        <v>-50</v>
      </c>
    </row>
    <row r="82" spans="5:83" x14ac:dyDescent="0.2">
      <c r="E82" s="175">
        <v>77</v>
      </c>
      <c r="F82" s="222">
        <f t="shared" si="150"/>
        <v>0.6160000000000001</v>
      </c>
      <c r="G82" s="222"/>
      <c r="H82" s="222">
        <f t="shared" si="105"/>
        <v>7.3920000000000012</v>
      </c>
      <c r="I82" s="556">
        <f t="shared" si="106"/>
        <v>13.5</v>
      </c>
      <c r="J82" s="177">
        <f t="shared" si="107"/>
        <v>12.25</v>
      </c>
      <c r="K82" s="452">
        <f t="shared" si="108"/>
        <v>25.75</v>
      </c>
      <c r="L82" s="452"/>
      <c r="M82" s="222">
        <f t="shared" si="109"/>
        <v>0.47572815533980584</v>
      </c>
      <c r="N82" s="177">
        <f t="shared" si="110"/>
        <v>12.507487864077669</v>
      </c>
      <c r="O82" s="177">
        <f t="shared" si="151"/>
        <v>7.3920000000000012</v>
      </c>
      <c r="P82" s="222">
        <f t="shared" si="111"/>
        <v>1.0422906553398057</v>
      </c>
      <c r="Q82" s="222">
        <f t="shared" si="112"/>
        <v>12</v>
      </c>
      <c r="R82" s="222">
        <f t="shared" si="113"/>
        <v>1.0971480582524269</v>
      </c>
      <c r="S82" s="177">
        <f t="shared" si="114"/>
        <v>29.294833818531067</v>
      </c>
      <c r="T82" s="177">
        <f t="shared" si="115"/>
        <v>12</v>
      </c>
      <c r="U82" s="222">
        <f t="shared" si="116"/>
        <v>2.4231244778613203</v>
      </c>
      <c r="V82" s="222">
        <f t="shared" si="117"/>
        <v>1.2564349144466105</v>
      </c>
      <c r="W82" s="222">
        <f t="shared" si="118"/>
        <v>1.3846425587778974</v>
      </c>
      <c r="X82" s="202">
        <f t="shared" si="119"/>
        <v>350</v>
      </c>
      <c r="Y82" s="452">
        <f t="shared" si="152"/>
        <v>350</v>
      </c>
      <c r="AA82" s="222">
        <f t="shared" si="120"/>
        <v>2.6213592233009715</v>
      </c>
      <c r="AB82" s="178">
        <f t="shared" si="121"/>
        <v>1.4979195561719838</v>
      </c>
      <c r="AC82" s="178">
        <f t="shared" si="122"/>
        <v>0.68715241775850722</v>
      </c>
      <c r="AD82" s="178"/>
      <c r="AE82" s="178">
        <f t="shared" si="123"/>
        <v>0.46857142857142853</v>
      </c>
      <c r="AF82" s="560">
        <f>MAX(12, F82/(0.5*AE82/1000000*Isw_min*Nps)/1000)</f>
        <v>3206.424747174302</v>
      </c>
      <c r="AG82" s="543">
        <f t="shared" si="124"/>
        <v>6.723999999999998E-2</v>
      </c>
      <c r="AI82" s="178">
        <f t="shared" si="125"/>
        <v>2.5464113034456535</v>
      </c>
      <c r="AJ82" s="178">
        <f t="shared" si="126"/>
        <v>2.5464113034456535</v>
      </c>
      <c r="AK82" s="178">
        <f t="shared" si="127"/>
        <v>2.4788231877375209</v>
      </c>
      <c r="AM82" s="560">
        <f t="shared" si="128"/>
        <v>616.00000000000011</v>
      </c>
      <c r="AN82" s="470">
        <f t="shared" si="129"/>
        <v>350</v>
      </c>
      <c r="AP82">
        <f t="shared" si="130"/>
        <v>616.00000000000011</v>
      </c>
      <c r="AQ82" s="470">
        <f t="shared" si="131"/>
        <v>350</v>
      </c>
      <c r="AS82" s="6">
        <f t="shared" si="153"/>
        <v>2.8571428571428572</v>
      </c>
      <c r="AT82" s="6">
        <f t="shared" si="132"/>
        <v>1.3203614166014501</v>
      </c>
      <c r="AU82" s="6">
        <f t="shared" si="154"/>
        <v>1.5367814405414071</v>
      </c>
      <c r="AV82" s="6">
        <f t="shared" si="133"/>
        <v>1.4550921733975164</v>
      </c>
      <c r="AW82" s="178">
        <f t="shared" si="155"/>
        <v>0.46212649581050752</v>
      </c>
      <c r="AX82" s="178">
        <f t="shared" si="134"/>
        <v>7.9431578947368449</v>
      </c>
      <c r="AY82" s="178">
        <f t="shared" si="135"/>
        <v>0.68482358544602329</v>
      </c>
      <c r="AZ82" s="178">
        <f t="shared" si="156"/>
        <v>11.598838100126901</v>
      </c>
      <c r="BA82" s="470">
        <f>L*Isw_max^2/(2*Vout_ripple*Vout)*1000000000*((1+M82)/2)^2</f>
        <v>22.244671714791423</v>
      </c>
      <c r="BB82" s="470">
        <f>L*F82^2/(2*Cout*Vout*Nps^2)*1000000000*((1+M82)/(1-M82))^2+F82*RCoutEsr</f>
        <v>20.505352673924261</v>
      </c>
      <c r="BC82" s="6">
        <f t="shared" si="136"/>
        <v>1.3122389324649002</v>
      </c>
      <c r="BD82" s="470">
        <f>((BY82/I82/Efficiency)*AU82/Cin+(BY82/I82/Efficiency)*RCinEsr)*1000</f>
        <v>90.305250748398322</v>
      </c>
      <c r="BE82" s="6"/>
      <c r="BF82" s="178">
        <f t="shared" si="157"/>
        <v>0.99942074700363703</v>
      </c>
      <c r="BG82" s="178">
        <f t="shared" si="137"/>
        <v>1.0782215353213005</v>
      </c>
      <c r="BH82" s="178"/>
      <c r="BI82" s="543">
        <f t="shared" si="138"/>
        <v>0.10987260124954386</v>
      </c>
      <c r="BJ82" s="543">
        <f t="shared" si="139"/>
        <v>0.11474765936151975</v>
      </c>
      <c r="BK82" s="543">
        <f t="shared" si="140"/>
        <v>1.7499999999999998E-2</v>
      </c>
      <c r="BL82" s="543">
        <f t="shared" si="141"/>
        <v>5.2216171874999995E-2</v>
      </c>
      <c r="BM82">
        <f t="shared" si="142"/>
        <v>3.9150000000000001E-3</v>
      </c>
      <c r="BN82" s="470">
        <f t="shared" si="158"/>
        <v>298.25143248606355</v>
      </c>
      <c r="BO82" s="543">
        <f t="shared" si="143"/>
        <v>0.24640000000000006</v>
      </c>
      <c r="BP82" s="543"/>
      <c r="BR82" s="470">
        <f t="shared" si="159"/>
        <v>246.40000000000006</v>
      </c>
      <c r="BS82" s="543">
        <f t="shared" si="144"/>
        <v>3.9953673181652313E-2</v>
      </c>
      <c r="BT82" s="543">
        <f t="shared" si="145"/>
        <v>4.6502467169224897E-2</v>
      </c>
      <c r="BU82" s="543">
        <f t="shared" si="146"/>
        <v>0</v>
      </c>
      <c r="BV82" s="543">
        <f t="shared" si="147"/>
        <v>8.5105263157894767E-2</v>
      </c>
      <c r="BW82" s="470">
        <f t="shared" si="160"/>
        <v>171.56140350877197</v>
      </c>
      <c r="BX82" s="178">
        <f t="shared" si="161"/>
        <v>0.71621283599483565</v>
      </c>
      <c r="BY82" s="6">
        <f t="shared" si="162"/>
        <v>7.3920000000000012</v>
      </c>
      <c r="BZ82" s="178">
        <f t="shared" si="163"/>
        <v>0.91166822449265905</v>
      </c>
      <c r="CA82" s="6">
        <f t="shared" si="164"/>
        <v>91.166822449265908</v>
      </c>
      <c r="CD82" s="577">
        <f t="shared" si="148"/>
        <v>-50</v>
      </c>
      <c r="CE82">
        <f t="shared" si="149"/>
        <v>-50</v>
      </c>
    </row>
    <row r="83" spans="5:83" x14ac:dyDescent="0.2">
      <c r="E83" s="175">
        <v>78</v>
      </c>
      <c r="F83" s="222">
        <f t="shared" si="150"/>
        <v>0.62400000000000011</v>
      </c>
      <c r="G83" s="222"/>
      <c r="H83" s="222">
        <f t="shared" si="105"/>
        <v>7.4880000000000013</v>
      </c>
      <c r="I83" s="556">
        <f t="shared" si="106"/>
        <v>13.5</v>
      </c>
      <c r="J83" s="177">
        <f t="shared" si="107"/>
        <v>12.25</v>
      </c>
      <c r="K83" s="452">
        <f t="shared" si="108"/>
        <v>25.75</v>
      </c>
      <c r="L83" s="452"/>
      <c r="M83" s="222">
        <f t="shared" si="109"/>
        <v>0.47572815533980584</v>
      </c>
      <c r="N83" s="177">
        <f t="shared" si="110"/>
        <v>12.507487864077669</v>
      </c>
      <c r="O83" s="177">
        <f t="shared" si="151"/>
        <v>7.4880000000000013</v>
      </c>
      <c r="P83" s="222">
        <f t="shared" si="111"/>
        <v>1.0422906553398057</v>
      </c>
      <c r="Q83" s="222">
        <f t="shared" si="112"/>
        <v>12</v>
      </c>
      <c r="R83" s="222">
        <f t="shared" si="113"/>
        <v>1.0971480582524269</v>
      </c>
      <c r="S83" s="177">
        <f t="shared" si="114"/>
        <v>28.749793600188063</v>
      </c>
      <c r="T83" s="177">
        <f t="shared" si="115"/>
        <v>12</v>
      </c>
      <c r="U83" s="222">
        <f t="shared" si="116"/>
        <v>2.4545936269244546</v>
      </c>
      <c r="V83" s="222">
        <f t="shared" si="117"/>
        <v>1.2727522509978655</v>
      </c>
      <c r="W83" s="222">
        <f t="shared" si="118"/>
        <v>1.4026249296711168</v>
      </c>
      <c r="X83" s="202">
        <f t="shared" si="119"/>
        <v>350</v>
      </c>
      <c r="Y83" s="452">
        <f t="shared" si="152"/>
        <v>350</v>
      </c>
      <c r="AA83" s="222">
        <f t="shared" si="120"/>
        <v>2.6213592233009715</v>
      </c>
      <c r="AB83" s="178">
        <f t="shared" si="121"/>
        <v>1.4979195561719838</v>
      </c>
      <c r="AC83" s="178">
        <f t="shared" si="122"/>
        <v>0.68715241775850722</v>
      </c>
      <c r="AD83" s="178"/>
      <c r="AE83" s="178">
        <f t="shared" si="123"/>
        <v>0.46857142857142853</v>
      </c>
      <c r="AF83" s="560">
        <f>MAX(12, F83/(0.5*AE83/1000000*Isw_min*Nps)/1000)</f>
        <v>3248.0666270077345</v>
      </c>
      <c r="AG83" s="543">
        <f t="shared" si="124"/>
        <v>6.723999999999998E-2</v>
      </c>
      <c r="AI83" s="178">
        <f t="shared" si="125"/>
        <v>2.5628931020687502</v>
      </c>
      <c r="AJ83" s="178">
        <f t="shared" si="126"/>
        <v>2.5628931020687502</v>
      </c>
      <c r="AK83" s="178">
        <f t="shared" si="127"/>
        <v>2.4910319274583337</v>
      </c>
      <c r="AM83" s="560">
        <f t="shared" si="128"/>
        <v>624.00000000000011</v>
      </c>
      <c r="AN83" s="470">
        <f t="shared" si="129"/>
        <v>350</v>
      </c>
      <c r="AP83">
        <f t="shared" si="130"/>
        <v>624.00000000000011</v>
      </c>
      <c r="AQ83" s="470">
        <f t="shared" si="131"/>
        <v>350</v>
      </c>
      <c r="AS83" s="6">
        <f t="shared" si="153"/>
        <v>2.8571428571428572</v>
      </c>
      <c r="AT83" s="6">
        <f t="shared" si="132"/>
        <v>1.3289075344060186</v>
      </c>
      <c r="AU83" s="6">
        <f t="shared" si="154"/>
        <v>1.5282353227368386</v>
      </c>
      <c r="AV83" s="6">
        <f t="shared" si="133"/>
        <v>1.4645103440392857</v>
      </c>
      <c r="AW83" s="178">
        <f t="shared" si="155"/>
        <v>0.46511763704210651</v>
      </c>
      <c r="AX83" s="178">
        <f t="shared" si="134"/>
        <v>8.0463157894736881</v>
      </c>
      <c r="AY83" s="178">
        <f t="shared" si="135"/>
        <v>0.68542315922150943</v>
      </c>
      <c r="AZ83" s="178">
        <f t="shared" si="156"/>
        <v>11.739194512500191</v>
      </c>
      <c r="BA83" s="470">
        <f>L*Isw_max^2/(2*Vout_ripple*Vout)*1000000000*((1+M83)/2)^2</f>
        <v>22.244671714791423</v>
      </c>
      <c r="BB83" s="470">
        <f>L*F83^2/(2*Cout*Vout*Nps^2)*1000000000*((1+M83)/(1-M83))^2+F83*RCoutEsr</f>
        <v>21.017106032746703</v>
      </c>
      <c r="BC83" s="6">
        <f t="shared" si="136"/>
        <v>1.3218887989780896</v>
      </c>
      <c r="BD83" s="470">
        <f>((BY83/I83/Efficiency)*AU83/Cin+(BY83/I83/Efficiency)*RCinEsr)*1000</f>
        <v>90.979072878389474</v>
      </c>
      <c r="BE83" s="6"/>
      <c r="BF83" s="178">
        <f t="shared" si="157"/>
        <v>1.0091396466128342</v>
      </c>
      <c r="BG83" s="178">
        <f t="shared" si="137"/>
        <v>1.0821787550329434</v>
      </c>
      <c r="BH83" s="178"/>
      <c r="BI83" s="543">
        <f t="shared" si="138"/>
        <v>0.11201991090024635</v>
      </c>
      <c r="BJ83" s="543">
        <f t="shared" si="139"/>
        <v>0.11549037041197308</v>
      </c>
      <c r="BK83" s="543">
        <f t="shared" si="140"/>
        <v>1.7499999999999998E-2</v>
      </c>
      <c r="BL83" s="543">
        <f t="shared" si="141"/>
        <v>5.2216171874999995E-2</v>
      </c>
      <c r="BM83">
        <f t="shared" si="142"/>
        <v>3.9150000000000001E-3</v>
      </c>
      <c r="BN83" s="470">
        <f t="shared" si="158"/>
        <v>301.14145318721938</v>
      </c>
      <c r="BO83" s="543">
        <f t="shared" si="143"/>
        <v>0.24960000000000004</v>
      </c>
      <c r="BP83" s="543"/>
      <c r="BR83" s="470">
        <f t="shared" si="159"/>
        <v>249.60000000000005</v>
      </c>
      <c r="BS83" s="543">
        <f t="shared" si="144"/>
        <v>4.073451305463504E-2</v>
      </c>
      <c r="BT83" s="543">
        <f t="shared" si="145"/>
        <v>4.684443431378605E-2</v>
      </c>
      <c r="BU83" s="543">
        <f t="shared" si="146"/>
        <v>0</v>
      </c>
      <c r="BV83" s="543">
        <f t="shared" si="147"/>
        <v>8.6210526315789529E-2</v>
      </c>
      <c r="BW83" s="470">
        <f t="shared" si="160"/>
        <v>173.78947368421061</v>
      </c>
      <c r="BX83" s="178">
        <f t="shared" si="161"/>
        <v>0.72453092687143006</v>
      </c>
      <c r="BY83" s="6">
        <f t="shared" si="162"/>
        <v>7.4880000000000013</v>
      </c>
      <c r="BZ83" s="178">
        <f t="shared" si="163"/>
        <v>0.91177738831999244</v>
      </c>
      <c r="CA83" s="6">
        <f t="shared" si="164"/>
        <v>91.17773883199925</v>
      </c>
      <c r="CD83" s="577">
        <f t="shared" si="148"/>
        <v>-50</v>
      </c>
      <c r="CE83">
        <f t="shared" si="149"/>
        <v>-50</v>
      </c>
    </row>
    <row r="84" spans="5:83" x14ac:dyDescent="0.2">
      <c r="E84" s="175">
        <v>79</v>
      </c>
      <c r="F84" s="222">
        <f t="shared" si="150"/>
        <v>0.63200000000000012</v>
      </c>
      <c r="G84" s="222"/>
      <c r="H84" s="222">
        <f t="shared" si="105"/>
        <v>7.5840000000000014</v>
      </c>
      <c r="I84" s="556">
        <f t="shared" si="106"/>
        <v>13.5</v>
      </c>
      <c r="J84" s="177">
        <f t="shared" si="107"/>
        <v>12.25</v>
      </c>
      <c r="K84" s="452">
        <f t="shared" si="108"/>
        <v>25.75</v>
      </c>
      <c r="L84" s="452"/>
      <c r="M84" s="222">
        <f t="shared" si="109"/>
        <v>0.47572815533980584</v>
      </c>
      <c r="N84" s="177">
        <f t="shared" si="110"/>
        <v>12.507487864077669</v>
      </c>
      <c r="O84" s="177">
        <f t="shared" si="151"/>
        <v>7.5840000000000014</v>
      </c>
      <c r="P84" s="222">
        <f t="shared" si="111"/>
        <v>1.0422906553398057</v>
      </c>
      <c r="Q84" s="222">
        <f t="shared" si="112"/>
        <v>12</v>
      </c>
      <c r="R84" s="222">
        <f t="shared" si="113"/>
        <v>1.0971480582524269</v>
      </c>
      <c r="S84" s="177">
        <f t="shared" si="114"/>
        <v>28.218630653724162</v>
      </c>
      <c r="T84" s="177">
        <f t="shared" si="115"/>
        <v>12</v>
      </c>
      <c r="U84" s="222">
        <f t="shared" si="116"/>
        <v>2.4860627759875884</v>
      </c>
      <c r="V84" s="222">
        <f t="shared" si="117"/>
        <v>1.28906958754912</v>
      </c>
      <c r="W84" s="222">
        <f t="shared" si="118"/>
        <v>1.4206073005643363</v>
      </c>
      <c r="X84" s="202">
        <f t="shared" si="119"/>
        <v>350</v>
      </c>
      <c r="Y84" s="452">
        <f t="shared" si="152"/>
        <v>350</v>
      </c>
      <c r="AA84" s="222">
        <f t="shared" si="120"/>
        <v>2.6213592233009715</v>
      </c>
      <c r="AB84" s="178">
        <f t="shared" si="121"/>
        <v>1.4979195561719838</v>
      </c>
      <c r="AC84" s="178">
        <f t="shared" si="122"/>
        <v>0.68715241775850722</v>
      </c>
      <c r="AD84" s="178"/>
      <c r="AE84" s="178">
        <f t="shared" si="123"/>
        <v>0.46857142857142853</v>
      </c>
      <c r="AF84" s="560">
        <f>MAX(12, F84/(0.5*AE84/1000000*Isw_min*Nps)/1000)</f>
        <v>3289.7085068411675</v>
      </c>
      <c r="AG84" s="543">
        <f t="shared" si="124"/>
        <v>6.723999999999998E-2</v>
      </c>
      <c r="AI84" s="178">
        <f t="shared" si="125"/>
        <v>2.5792695824491418</v>
      </c>
      <c r="AJ84" s="178">
        <f t="shared" si="126"/>
        <v>2.5792695824491418</v>
      </c>
      <c r="AK84" s="178">
        <f t="shared" si="127"/>
        <v>2.5031626536660312</v>
      </c>
      <c r="AM84" s="560">
        <f t="shared" si="128"/>
        <v>632.00000000000011</v>
      </c>
      <c r="AN84" s="470">
        <f t="shared" si="129"/>
        <v>350</v>
      </c>
      <c r="AP84">
        <f t="shared" si="130"/>
        <v>632.00000000000011</v>
      </c>
      <c r="AQ84" s="470">
        <f t="shared" si="131"/>
        <v>350</v>
      </c>
      <c r="AS84" s="6">
        <f t="shared" si="153"/>
        <v>2.8571428571428572</v>
      </c>
      <c r="AT84" s="6">
        <f t="shared" si="132"/>
        <v>1.3373990427514069</v>
      </c>
      <c r="AU84" s="6">
        <f t="shared" si="154"/>
        <v>1.5197438143914503</v>
      </c>
      <c r="AV84" s="6">
        <f t="shared" si="133"/>
        <v>1.4738683328280811</v>
      </c>
      <c r="AW84" s="178">
        <f t="shared" si="155"/>
        <v>0.46808966496299237</v>
      </c>
      <c r="AX84" s="178">
        <f t="shared" si="134"/>
        <v>8.1494736842105286</v>
      </c>
      <c r="AY84" s="178">
        <f t="shared" si="135"/>
        <v>0.68597007387564279</v>
      </c>
      <c r="AZ84" s="178">
        <f t="shared" si="156"/>
        <v>11.88021751177431</v>
      </c>
      <c r="BA84" s="470">
        <f>L*Isw_max^2/(2*Vout_ripple*Vout)*1000000000*((1+M84)/2)^2</f>
        <v>22.244671714791423</v>
      </c>
      <c r="BB84" s="470">
        <f>L*F84^2/(2*Cout*Vout*Nps^2)*1000000000*((1+M84)/(1-M84))^2+F84*RCoutEsr</f>
        <v>21.535152983295887</v>
      </c>
      <c r="BC84" s="6">
        <f t="shared" si="136"/>
        <v>1.3313969634937273</v>
      </c>
      <c r="BD84" s="470">
        <f>((BY84/I84/Efficiency)*AU84/Cin+(BY84/I84/Efficiency)*RCinEsr)*1000</f>
        <v>91.643330123545908</v>
      </c>
      <c r="BE84" s="6"/>
      <c r="BF84" s="178">
        <f t="shared" si="157"/>
        <v>1.0188274448128589</v>
      </c>
      <c r="BG84" s="178">
        <f t="shared" si="137"/>
        <v>1.0860637630200283</v>
      </c>
      <c r="BH84" s="178"/>
      <c r="BI84" s="543">
        <f t="shared" si="138"/>
        <v>0.1141810298534289</v>
      </c>
      <c r="BJ84" s="543">
        <f t="shared" si="139"/>
        <v>0.11622833555911447</v>
      </c>
      <c r="BK84" s="543">
        <f t="shared" si="140"/>
        <v>1.7499999999999998E-2</v>
      </c>
      <c r="BL84" s="543">
        <f t="shared" si="141"/>
        <v>5.2216171874999995E-2</v>
      </c>
      <c r="BM84">
        <f t="shared" si="142"/>
        <v>3.9150000000000001E-3</v>
      </c>
      <c r="BN84" s="470">
        <f t="shared" si="158"/>
        <v>304.04053728754332</v>
      </c>
      <c r="BO84" s="543">
        <f t="shared" si="143"/>
        <v>0.25280000000000008</v>
      </c>
      <c r="BP84" s="543"/>
      <c r="BR84" s="470">
        <f t="shared" si="159"/>
        <v>252.80000000000007</v>
      </c>
      <c r="BS84" s="543">
        <f t="shared" si="144"/>
        <v>4.1520374492155961E-2</v>
      </c>
      <c r="BT84" s="543">
        <f t="shared" si="145"/>
        <v>4.7181379893808967E-2</v>
      </c>
      <c r="BU84" s="543">
        <f t="shared" si="146"/>
        <v>0</v>
      </c>
      <c r="BV84" s="543">
        <f t="shared" si="147"/>
        <v>8.7315789473684249E-2</v>
      </c>
      <c r="BW84" s="470">
        <f t="shared" si="160"/>
        <v>176.01754385964918</v>
      </c>
      <c r="BX84" s="178">
        <f t="shared" si="161"/>
        <v>0.73285808114719253</v>
      </c>
      <c r="BY84" s="6">
        <f t="shared" si="162"/>
        <v>7.5840000000000014</v>
      </c>
      <c r="BZ84" s="178">
        <f t="shared" si="163"/>
        <v>0.91188281993070819</v>
      </c>
      <c r="CA84" s="6">
        <f t="shared" si="164"/>
        <v>91.188281993070817</v>
      </c>
      <c r="CD84" s="577">
        <f t="shared" si="148"/>
        <v>-50</v>
      </c>
      <c r="CE84">
        <f t="shared" si="149"/>
        <v>-50</v>
      </c>
    </row>
    <row r="85" spans="5:83" x14ac:dyDescent="0.2">
      <c r="E85" s="175">
        <v>80</v>
      </c>
      <c r="F85" s="222">
        <f t="shared" si="150"/>
        <v>0.64000000000000012</v>
      </c>
      <c r="G85" s="222"/>
      <c r="H85" s="222">
        <f t="shared" si="105"/>
        <v>7.6800000000000015</v>
      </c>
      <c r="I85" s="556">
        <f t="shared" si="106"/>
        <v>13.5</v>
      </c>
      <c r="J85" s="177">
        <f t="shared" si="107"/>
        <v>12.25</v>
      </c>
      <c r="K85" s="452">
        <f t="shared" si="108"/>
        <v>25.75</v>
      </c>
      <c r="L85" s="452"/>
      <c r="M85" s="222">
        <f t="shared" si="109"/>
        <v>0.47572815533980584</v>
      </c>
      <c r="N85" s="177">
        <f t="shared" si="110"/>
        <v>12.507487864077669</v>
      </c>
      <c r="O85" s="177">
        <f t="shared" si="151"/>
        <v>7.6800000000000015</v>
      </c>
      <c r="P85" s="222">
        <f t="shared" si="111"/>
        <v>1.0422906553398057</v>
      </c>
      <c r="Q85" s="222">
        <f t="shared" si="112"/>
        <v>12</v>
      </c>
      <c r="R85" s="222">
        <f t="shared" si="113"/>
        <v>1.0971480582524269</v>
      </c>
      <c r="S85" s="177">
        <f t="shared" si="114"/>
        <v>27.700825898687718</v>
      </c>
      <c r="T85" s="177">
        <f t="shared" si="115"/>
        <v>12</v>
      </c>
      <c r="U85" s="222">
        <f t="shared" si="116"/>
        <v>2.5175319250507227</v>
      </c>
      <c r="V85" s="222">
        <f t="shared" si="117"/>
        <v>1.3053869241003746</v>
      </c>
      <c r="W85" s="222">
        <f t="shared" si="118"/>
        <v>1.4385896714575557</v>
      </c>
      <c r="X85" s="202">
        <f t="shared" si="119"/>
        <v>350</v>
      </c>
      <c r="Y85" s="452">
        <f t="shared" si="152"/>
        <v>350</v>
      </c>
      <c r="AA85" s="222">
        <f t="shared" si="120"/>
        <v>2.6213592233009715</v>
      </c>
      <c r="AB85" s="178">
        <f t="shared" si="121"/>
        <v>1.4979195561719838</v>
      </c>
      <c r="AC85" s="178">
        <f t="shared" si="122"/>
        <v>0.68715241775850722</v>
      </c>
      <c r="AD85" s="178"/>
      <c r="AE85" s="178">
        <f t="shared" si="123"/>
        <v>0.46857142857142853</v>
      </c>
      <c r="AF85" s="560">
        <f>MAX(12, F85/(0.5*AE85/1000000*Isw_min*Nps)/1000)</f>
        <v>3331.3503866745996</v>
      </c>
      <c r="AG85" s="543">
        <f t="shared" si="124"/>
        <v>6.723999999999998E-2</v>
      </c>
      <c r="AI85" s="178">
        <f t="shared" si="125"/>
        <v>2.5955427380922012</v>
      </c>
      <c r="AJ85" s="178">
        <f t="shared" si="126"/>
        <v>2.5955427380922012</v>
      </c>
      <c r="AK85" s="178">
        <f t="shared" si="127"/>
        <v>2.5152168430312605</v>
      </c>
      <c r="AM85" s="560">
        <f t="shared" si="128"/>
        <v>640.00000000000011</v>
      </c>
      <c r="AN85" s="470">
        <f t="shared" si="129"/>
        <v>350</v>
      </c>
      <c r="AP85">
        <f t="shared" si="130"/>
        <v>640.00000000000011</v>
      </c>
      <c r="AQ85" s="470">
        <f t="shared" si="131"/>
        <v>350</v>
      </c>
      <c r="AS85" s="6">
        <f t="shared" si="153"/>
        <v>2.8571428571428572</v>
      </c>
      <c r="AT85" s="6">
        <f t="shared" si="132"/>
        <v>1.3458369753070671</v>
      </c>
      <c r="AU85" s="6">
        <f t="shared" si="154"/>
        <v>1.5113058818357901</v>
      </c>
      <c r="AV85" s="6">
        <f t="shared" si="133"/>
        <v>1.4831672789098291</v>
      </c>
      <c r="AW85" s="178">
        <f t="shared" si="155"/>
        <v>0.47104294135747349</v>
      </c>
      <c r="AX85" s="178">
        <f t="shared" si="134"/>
        <v>8.2526315789473728</v>
      </c>
      <c r="AY85" s="178">
        <f t="shared" si="135"/>
        <v>0.68646532616111011</v>
      </c>
      <c r="AZ85" s="178">
        <f t="shared" si="156"/>
        <v>12.021920502668651</v>
      </c>
      <c r="BA85" s="470">
        <f>L*Isw_max^2/(2*Vout_ripple*Vout)*1000000000*((1+M85)/2)^2</f>
        <v>22.244671714791423</v>
      </c>
      <c r="BB85" s="470">
        <f>L*F85^2/(2*Cout*Vout*Nps^2)*1000000000*((1+M85)/(1-M85))^2+F85*RCoutEsr</f>
        <v>22.059493525571813</v>
      </c>
      <c r="BC85" s="6">
        <f t="shared" si="136"/>
        <v>1.3407643257525226</v>
      </c>
      <c r="BD85" s="470">
        <f>((BY85/I85/Efficiency)*AU85/Cin+(BY85/I85/Efficiency)*RCinEsr)*1000</f>
        <v>92.298083216365455</v>
      </c>
      <c r="BE85" s="6"/>
      <c r="BF85" s="178">
        <f t="shared" si="157"/>
        <v>1.0284846329631496</v>
      </c>
      <c r="BG85" s="178">
        <f t="shared" si="137"/>
        <v>1.0898776971965138</v>
      </c>
      <c r="BH85" s="178"/>
      <c r="BI85" s="543">
        <f t="shared" si="138"/>
        <v>0.11635587042654789</v>
      </c>
      <c r="BJ85" s="543">
        <f t="shared" si="139"/>
        <v>0.11696164463527982</v>
      </c>
      <c r="BK85" s="543">
        <f t="shared" si="140"/>
        <v>1.7499999999999998E-2</v>
      </c>
      <c r="BL85" s="543">
        <f t="shared" si="141"/>
        <v>5.2216171874999995E-2</v>
      </c>
      <c r="BM85">
        <f t="shared" si="142"/>
        <v>3.9150000000000001E-3</v>
      </c>
      <c r="BN85" s="470">
        <f t="shared" si="158"/>
        <v>306.9486869368277</v>
      </c>
      <c r="BO85" s="543">
        <f t="shared" si="143"/>
        <v>0.25600000000000006</v>
      </c>
      <c r="BP85" s="543"/>
      <c r="BR85" s="470">
        <f t="shared" si="159"/>
        <v>256.00000000000006</v>
      </c>
      <c r="BS85" s="543">
        <f t="shared" si="144"/>
        <v>4.231122560965378E-2</v>
      </c>
      <c r="BT85" s="543">
        <f t="shared" si="145"/>
        <v>4.7513335793855041E-2</v>
      </c>
      <c r="BU85" s="543">
        <f t="shared" si="146"/>
        <v>0</v>
      </c>
      <c r="BV85" s="543">
        <f t="shared" si="147"/>
        <v>8.8421052631578997E-2</v>
      </c>
      <c r="BW85" s="470">
        <f t="shared" si="160"/>
        <v>178.24561403508781</v>
      </c>
      <c r="BX85" s="178">
        <f t="shared" si="161"/>
        <v>0.74119430097191552</v>
      </c>
      <c r="BY85" s="6">
        <f t="shared" si="162"/>
        <v>7.6800000000000015</v>
      </c>
      <c r="BZ85" s="178">
        <f t="shared" si="163"/>
        <v>0.91198465746285273</v>
      </c>
      <c r="CA85" s="6">
        <f t="shared" si="164"/>
        <v>91.198465746285279</v>
      </c>
      <c r="CD85" s="577">
        <f t="shared" si="148"/>
        <v>-50</v>
      </c>
      <c r="CE85">
        <f t="shared" si="149"/>
        <v>-50</v>
      </c>
    </row>
    <row r="86" spans="5:83" x14ac:dyDescent="0.2">
      <c r="E86" s="175">
        <v>81</v>
      </c>
      <c r="F86" s="222">
        <f t="shared" si="150"/>
        <v>0.64800000000000013</v>
      </c>
      <c r="G86" s="222"/>
      <c r="H86" s="222">
        <f t="shared" si="105"/>
        <v>7.7760000000000016</v>
      </c>
      <c r="I86" s="556">
        <f t="shared" si="106"/>
        <v>13.5</v>
      </c>
      <c r="J86" s="177">
        <f t="shared" si="107"/>
        <v>12.25</v>
      </c>
      <c r="K86" s="452">
        <f t="shared" si="108"/>
        <v>25.75</v>
      </c>
      <c r="L86" s="452"/>
      <c r="M86" s="222">
        <f t="shared" si="109"/>
        <v>0.47572815533980584</v>
      </c>
      <c r="N86" s="177">
        <f t="shared" si="110"/>
        <v>12.507487864077669</v>
      </c>
      <c r="O86" s="177">
        <f t="shared" si="151"/>
        <v>7.7760000000000016</v>
      </c>
      <c r="P86" s="222">
        <f t="shared" si="111"/>
        <v>1.0422906553398057</v>
      </c>
      <c r="Q86" s="222">
        <f t="shared" si="112"/>
        <v>12</v>
      </c>
      <c r="R86" s="222">
        <f t="shared" si="113"/>
        <v>1.0971480582524269</v>
      </c>
      <c r="S86" s="177">
        <f t="shared" si="114"/>
        <v>27.195885916421524</v>
      </c>
      <c r="T86" s="177">
        <f t="shared" si="115"/>
        <v>12</v>
      </c>
      <c r="U86" s="222">
        <f t="shared" si="116"/>
        <v>2.5490010741138565</v>
      </c>
      <c r="V86" s="222">
        <f t="shared" si="117"/>
        <v>1.3217042606516292</v>
      </c>
      <c r="W86" s="222">
        <f t="shared" si="118"/>
        <v>1.4565720423507751</v>
      </c>
      <c r="X86" s="202">
        <f t="shared" si="119"/>
        <v>350</v>
      </c>
      <c r="Y86" s="452">
        <f t="shared" si="152"/>
        <v>350</v>
      </c>
      <c r="AA86" s="222">
        <f t="shared" si="120"/>
        <v>2.6213592233009715</v>
      </c>
      <c r="AB86" s="178">
        <f t="shared" si="121"/>
        <v>1.4979195561719838</v>
      </c>
      <c r="AC86" s="178">
        <f t="shared" si="122"/>
        <v>0.68715241775850722</v>
      </c>
      <c r="AD86" s="178"/>
      <c r="AE86" s="178">
        <f t="shared" si="123"/>
        <v>0.46857142857142853</v>
      </c>
      <c r="AF86" s="560">
        <f>MAX(12, F86/(0.5*AE86/1000000*Isw_min*Nps)/1000)</f>
        <v>3372.9922665080321</v>
      </c>
      <c r="AG86" s="543">
        <f t="shared" si="124"/>
        <v>6.723999999999998E-2</v>
      </c>
      <c r="AI86" s="178">
        <f t="shared" si="125"/>
        <v>2.6117145003960425</v>
      </c>
      <c r="AJ86" s="178">
        <f t="shared" si="126"/>
        <v>2.6117145003960425</v>
      </c>
      <c r="AK86" s="178">
        <f t="shared" si="127"/>
        <v>2.5271959262192909</v>
      </c>
      <c r="AM86" s="560">
        <f t="shared" si="128"/>
        <v>648.00000000000011</v>
      </c>
      <c r="AN86" s="470">
        <f t="shared" si="129"/>
        <v>350</v>
      </c>
      <c r="AP86">
        <f t="shared" si="130"/>
        <v>648.00000000000011</v>
      </c>
      <c r="AQ86" s="470">
        <f t="shared" si="131"/>
        <v>350</v>
      </c>
      <c r="AS86" s="6">
        <f t="shared" si="153"/>
        <v>2.8571428571428572</v>
      </c>
      <c r="AT86" s="6">
        <f t="shared" si="132"/>
        <v>1.3542223335386887</v>
      </c>
      <c r="AU86" s="6">
        <f t="shared" si="154"/>
        <v>1.5029205236041685</v>
      </c>
      <c r="AV86" s="6">
        <f t="shared" si="133"/>
        <v>1.4924082859405958</v>
      </c>
      <c r="AW86" s="178">
        <f t="shared" si="155"/>
        <v>0.47397781673854106</v>
      </c>
      <c r="AX86" s="178">
        <f t="shared" si="134"/>
        <v>8.3557894736842133</v>
      </c>
      <c r="AY86" s="178">
        <f t="shared" si="135"/>
        <v>0.68690988177696832</v>
      </c>
      <c r="AZ86" s="178">
        <f t="shared" si="156"/>
        <v>12.164316885453164</v>
      </c>
      <c r="BA86" s="470">
        <f>L*Isw_max^2/(2*Vout_ripple*Vout)*1000000000*((1+M86)/2)^2</f>
        <v>22.244671714791423</v>
      </c>
      <c r="BB86" s="470">
        <f>L*F86^2/(2*Cout*Vout*Nps^2)*1000000000*((1+M86)/(1-M86))^2+F86*RCoutEsr</f>
        <v>22.590127659574481</v>
      </c>
      <c r="BC86" s="6">
        <f t="shared" si="136"/>
        <v>1.3499917685707619</v>
      </c>
      <c r="BD86" s="470">
        <f>((BY86/I86/Efficiency)*AU86/Cin+(BY86/I86/Efficiency)*RCinEsr)*1000</f>
        <v>92.943391746947498</v>
      </c>
      <c r="BE86" s="6"/>
      <c r="BF86" s="178">
        <f t="shared" si="157"/>
        <v>1.038111688624185</v>
      </c>
      <c r="BG86" s="178">
        <f t="shared" si="137"/>
        <v>1.0936216587413399</v>
      </c>
      <c r="BH86" s="178"/>
      <c r="BI86" s="543">
        <f t="shared" si="138"/>
        <v>0.11854434658639725</v>
      </c>
      <c r="BJ86" s="543">
        <f t="shared" si="139"/>
        <v>0.11769038467409666</v>
      </c>
      <c r="BK86" s="543">
        <f t="shared" si="140"/>
        <v>1.7499999999999998E-2</v>
      </c>
      <c r="BL86" s="543">
        <f t="shared" si="141"/>
        <v>5.2216171874999995E-2</v>
      </c>
      <c r="BM86">
        <f t="shared" si="142"/>
        <v>3.9150000000000001E-3</v>
      </c>
      <c r="BN86" s="470">
        <f t="shared" si="158"/>
        <v>309.86590313549391</v>
      </c>
      <c r="BO86" s="543">
        <f t="shared" si="143"/>
        <v>0.25920000000000004</v>
      </c>
      <c r="BP86" s="543"/>
      <c r="BR86" s="470">
        <f t="shared" si="159"/>
        <v>259.20000000000005</v>
      </c>
      <c r="BS86" s="543">
        <f t="shared" si="144"/>
        <v>4.3107035122326269E-2</v>
      </c>
      <c r="BT86" s="543">
        <f t="shared" si="145"/>
        <v>4.784033329872639E-2</v>
      </c>
      <c r="BU86" s="543">
        <f t="shared" si="146"/>
        <v>0</v>
      </c>
      <c r="BV86" s="543">
        <f t="shared" si="147"/>
        <v>8.9526315789473718E-2</v>
      </c>
      <c r="BW86" s="470">
        <f t="shared" si="160"/>
        <v>180.47368421052639</v>
      </c>
      <c r="BX86" s="178">
        <f t="shared" si="161"/>
        <v>0.74953958734602022</v>
      </c>
      <c r="BY86" s="6">
        <f t="shared" si="162"/>
        <v>7.7760000000000016</v>
      </c>
      <c r="BZ86" s="178">
        <f t="shared" si="163"/>
        <v>0.91208303243837863</v>
      </c>
      <c r="CA86" s="6">
        <f t="shared" si="164"/>
        <v>91.208303243837861</v>
      </c>
      <c r="CD86" s="577">
        <f t="shared" si="148"/>
        <v>-50</v>
      </c>
      <c r="CE86">
        <f t="shared" si="149"/>
        <v>-50</v>
      </c>
    </row>
    <row r="87" spans="5:83" x14ac:dyDescent="0.2">
      <c r="E87" s="175">
        <v>82</v>
      </c>
      <c r="F87" s="222">
        <f t="shared" si="150"/>
        <v>0.65600000000000003</v>
      </c>
      <c r="G87" s="222"/>
      <c r="H87" s="222">
        <f t="shared" si="105"/>
        <v>7.8719999999999999</v>
      </c>
      <c r="I87" s="556">
        <f t="shared" si="106"/>
        <v>13.5</v>
      </c>
      <c r="J87" s="177">
        <f t="shared" si="107"/>
        <v>12.25</v>
      </c>
      <c r="K87" s="452">
        <f t="shared" si="108"/>
        <v>25.75</v>
      </c>
      <c r="L87" s="452"/>
      <c r="M87" s="222">
        <f t="shared" si="109"/>
        <v>0.47572815533980584</v>
      </c>
      <c r="N87" s="177">
        <f t="shared" si="110"/>
        <v>12.507487864077669</v>
      </c>
      <c r="O87" s="177">
        <f t="shared" si="151"/>
        <v>7.8719999999999999</v>
      </c>
      <c r="P87" s="222">
        <f t="shared" si="111"/>
        <v>1.0422906553398057</v>
      </c>
      <c r="Q87" s="222">
        <f t="shared" si="112"/>
        <v>12</v>
      </c>
      <c r="R87" s="222">
        <f t="shared" si="113"/>
        <v>1.0971480582524269</v>
      </c>
      <c r="S87" s="177">
        <f t="shared" si="114"/>
        <v>26.703341386037692</v>
      </c>
      <c r="T87" s="177">
        <f t="shared" si="115"/>
        <v>12</v>
      </c>
      <c r="U87" s="222">
        <f t="shared" si="116"/>
        <v>2.5804702231769903</v>
      </c>
      <c r="V87" s="222">
        <f t="shared" si="117"/>
        <v>1.3380215972028837</v>
      </c>
      <c r="W87" s="222">
        <f t="shared" si="118"/>
        <v>1.4745544132439943</v>
      </c>
      <c r="X87" s="202">
        <f t="shared" si="119"/>
        <v>350</v>
      </c>
      <c r="Y87" s="452">
        <f t="shared" si="152"/>
        <v>350</v>
      </c>
      <c r="AA87" s="222">
        <f t="shared" si="120"/>
        <v>2.6213592233009715</v>
      </c>
      <c r="AB87" s="178">
        <f t="shared" si="121"/>
        <v>1.4979195561719838</v>
      </c>
      <c r="AC87" s="178">
        <f t="shared" si="122"/>
        <v>0.68715241775850722</v>
      </c>
      <c r="AD87" s="178"/>
      <c r="AE87" s="178">
        <f t="shared" si="123"/>
        <v>0.46857142857142853</v>
      </c>
      <c r="AF87" s="560">
        <f>MAX(12, F87/(0.5*AE87/1000000*Isw_min*Nps)/1000)</f>
        <v>3414.6341463414642</v>
      </c>
      <c r="AG87" s="543">
        <f t="shared" si="124"/>
        <v>6.723999999999998E-2</v>
      </c>
      <c r="AI87" s="178">
        <f t="shared" si="125"/>
        <v>2.6277867413271454</v>
      </c>
      <c r="AJ87" s="178">
        <f t="shared" si="126"/>
        <v>2.6277867413271454</v>
      </c>
      <c r="AK87" s="178">
        <f t="shared" si="127"/>
        <v>2.5391012898719598</v>
      </c>
      <c r="AM87" s="560">
        <f t="shared" si="128"/>
        <v>656</v>
      </c>
      <c r="AN87" s="470">
        <f t="shared" si="129"/>
        <v>350</v>
      </c>
      <c r="AP87">
        <f t="shared" si="130"/>
        <v>656</v>
      </c>
      <c r="AQ87" s="470">
        <f t="shared" si="131"/>
        <v>350</v>
      </c>
      <c r="AS87" s="6">
        <f t="shared" si="153"/>
        <v>2.8571428571428572</v>
      </c>
      <c r="AT87" s="6">
        <f t="shared" si="132"/>
        <v>1.3625560880955567</v>
      </c>
      <c r="AU87" s="6">
        <f t="shared" si="154"/>
        <v>1.4945867690473005</v>
      </c>
      <c r="AV87" s="6">
        <f t="shared" si="133"/>
        <v>1.5015924236155116</v>
      </c>
      <c r="AW87" s="178">
        <f t="shared" si="155"/>
        <v>0.47689463083344485</v>
      </c>
      <c r="AX87" s="178">
        <f t="shared" si="134"/>
        <v>8.4589473684210539</v>
      </c>
      <c r="AY87" s="178">
        <f t="shared" si="135"/>
        <v>0.68730467670645767</v>
      </c>
      <c r="AZ87" s="178">
        <f t="shared" si="156"/>
        <v>12.307420064353501</v>
      </c>
      <c r="BA87" s="470">
        <f>L*Isw_max^2/(2*Vout_ripple*Vout)*1000000000*((1+M87)/2)^2</f>
        <v>22.244671714791423</v>
      </c>
      <c r="BB87" s="470">
        <f>L*F87^2/(2*Cout*Vout*Nps^2)*1000000000*((1+M87)/(1-M87))^2+F87*RCoutEsr</f>
        <v>23.127055385303876</v>
      </c>
      <c r="BC87" s="6">
        <f t="shared" si="136"/>
        <v>1.3590801583643464</v>
      </c>
      <c r="BD87" s="470">
        <f>((BY87/I87/Efficiency)*AU87/Cin+(BY87/I87/Efficiency)*RCinEsr)*1000</f>
        <v>93.579314198365324</v>
      </c>
      <c r="BE87" s="6"/>
      <c r="BF87" s="178">
        <f t="shared" si="157"/>
        <v>1.0477090761103482</v>
      </c>
      <c r="BG87" s="178">
        <f t="shared" si="137"/>
        <v>1.0972967136562986</v>
      </c>
      <c r="BH87" s="178"/>
      <c r="BI87" s="543">
        <f t="shared" si="138"/>
        <v>0.12074637389803995</v>
      </c>
      <c r="BJ87" s="543">
        <f t="shared" si="139"/>
        <v>0.11841464003105451</v>
      </c>
      <c r="BK87" s="543">
        <f t="shared" si="140"/>
        <v>1.7499999999999998E-2</v>
      </c>
      <c r="BL87" s="543">
        <f t="shared" si="141"/>
        <v>5.2216171874999995E-2</v>
      </c>
      <c r="BM87">
        <f t="shared" si="142"/>
        <v>3.9150000000000001E-3</v>
      </c>
      <c r="BN87" s="470">
        <f t="shared" si="158"/>
        <v>312.79218580409446</v>
      </c>
      <c r="BO87" s="543">
        <f t="shared" si="143"/>
        <v>0.26240000000000002</v>
      </c>
      <c r="BP87" s="543"/>
      <c r="BR87" s="470">
        <f t="shared" si="159"/>
        <v>262.40000000000003</v>
      </c>
      <c r="BS87" s="543">
        <f t="shared" si="144"/>
        <v>4.3907772326559985E-2</v>
      </c>
      <c r="BT87" s="543">
        <f t="shared" si="145"/>
        <v>4.8162403112036518E-2</v>
      </c>
      <c r="BU87" s="543">
        <f t="shared" si="146"/>
        <v>0</v>
      </c>
      <c r="BV87" s="543">
        <f t="shared" si="147"/>
        <v>9.0631578947368466E-2</v>
      </c>
      <c r="BW87" s="470">
        <f t="shared" si="160"/>
        <v>182.70175438596499</v>
      </c>
      <c r="BX87" s="178">
        <f t="shared" si="161"/>
        <v>0.75789394019005951</v>
      </c>
      <c r="BY87" s="6">
        <f t="shared" si="162"/>
        <v>7.8719999999999999</v>
      </c>
      <c r="BZ87" s="178">
        <f t="shared" si="163"/>
        <v>0.91217807015443242</v>
      </c>
      <c r="CA87" s="6">
        <f t="shared" si="164"/>
        <v>91.217807015443242</v>
      </c>
      <c r="CD87" s="577">
        <f t="shared" si="148"/>
        <v>-50</v>
      </c>
      <c r="CE87">
        <f t="shared" si="149"/>
        <v>-50</v>
      </c>
    </row>
    <row r="88" spans="5:83" x14ac:dyDescent="0.2">
      <c r="E88" s="175">
        <v>83</v>
      </c>
      <c r="F88" s="222">
        <f t="shared" si="150"/>
        <v>0.66400000000000003</v>
      </c>
      <c r="G88" s="222"/>
      <c r="H88" s="222">
        <f t="shared" si="105"/>
        <v>7.968</v>
      </c>
      <c r="I88" s="556">
        <f t="shared" si="106"/>
        <v>13.5</v>
      </c>
      <c r="J88" s="177">
        <f t="shared" si="107"/>
        <v>12.25</v>
      </c>
      <c r="K88" s="452">
        <f t="shared" si="108"/>
        <v>25.75</v>
      </c>
      <c r="L88" s="452"/>
      <c r="M88" s="222">
        <f t="shared" si="109"/>
        <v>0.47572815533980584</v>
      </c>
      <c r="N88" s="177">
        <f t="shared" si="110"/>
        <v>12.507487864077669</v>
      </c>
      <c r="O88" s="177">
        <f t="shared" si="151"/>
        <v>7.968</v>
      </c>
      <c r="P88" s="222">
        <f t="shared" si="111"/>
        <v>1.0422906553398057</v>
      </c>
      <c r="Q88" s="222">
        <f t="shared" si="112"/>
        <v>12</v>
      </c>
      <c r="R88" s="222">
        <f t="shared" si="113"/>
        <v>1.0971480582524269</v>
      </c>
      <c r="S88" s="177">
        <f t="shared" si="114"/>
        <v>26.222745633475334</v>
      </c>
      <c r="T88" s="177">
        <f t="shared" si="115"/>
        <v>12</v>
      </c>
      <c r="U88" s="222">
        <f t="shared" si="116"/>
        <v>2.6119393722401241</v>
      </c>
      <c r="V88" s="222">
        <f t="shared" si="117"/>
        <v>1.3543389337541385</v>
      </c>
      <c r="W88" s="222">
        <f t="shared" si="118"/>
        <v>1.4925367841372135</v>
      </c>
      <c r="X88" s="202">
        <f t="shared" si="119"/>
        <v>350</v>
      </c>
      <c r="Y88" s="452">
        <f t="shared" si="152"/>
        <v>350</v>
      </c>
      <c r="AA88" s="222">
        <f t="shared" si="120"/>
        <v>2.6213592233009715</v>
      </c>
      <c r="AB88" s="178">
        <f t="shared" si="121"/>
        <v>1.4979195561719838</v>
      </c>
      <c r="AC88" s="178">
        <f t="shared" si="122"/>
        <v>0.68715241775850722</v>
      </c>
      <c r="AD88" s="178"/>
      <c r="AE88" s="178">
        <f t="shared" si="123"/>
        <v>0.46857142857142853</v>
      </c>
      <c r="AF88" s="560">
        <f>MAX(12, F88/(0.5*AE88/1000000*Isw_min*Nps)/1000)</f>
        <v>3456.2760261748967</v>
      </c>
      <c r="AG88" s="543">
        <f t="shared" si="124"/>
        <v>6.723999999999998E-2</v>
      </c>
      <c r="AI88" s="178">
        <f t="shared" si="125"/>
        <v>2.6437612759495752</v>
      </c>
      <c r="AJ88" s="178">
        <f t="shared" si="126"/>
        <v>2.6437612759495752</v>
      </c>
      <c r="AK88" s="178">
        <f t="shared" si="127"/>
        <v>2.5509342784811668</v>
      </c>
      <c r="AM88" s="560">
        <f t="shared" si="128"/>
        <v>664</v>
      </c>
      <c r="AN88" s="470">
        <f t="shared" si="129"/>
        <v>350</v>
      </c>
      <c r="AP88">
        <f t="shared" si="130"/>
        <v>664</v>
      </c>
      <c r="AQ88" s="470">
        <f t="shared" si="131"/>
        <v>350</v>
      </c>
      <c r="AS88" s="6">
        <f t="shared" si="153"/>
        <v>2.8571428571428572</v>
      </c>
      <c r="AT88" s="6">
        <f t="shared" si="132"/>
        <v>1.3708391801220019</v>
      </c>
      <c r="AU88" s="6">
        <f t="shared" si="154"/>
        <v>1.4863036770208553</v>
      </c>
      <c r="AV88" s="6">
        <f t="shared" si="133"/>
        <v>1.510720729114043</v>
      </c>
      <c r="AW88" s="178">
        <f t="shared" si="155"/>
        <v>0.47979371304270063</v>
      </c>
      <c r="AX88" s="178">
        <f t="shared" si="134"/>
        <v>8.5621052631578927</v>
      </c>
      <c r="AY88" s="178">
        <f t="shared" si="135"/>
        <v>0.68765061848161035</v>
      </c>
      <c r="AZ88" s="178">
        <f t="shared" si="156"/>
        <v>12.451243455671911</v>
      </c>
      <c r="BA88" s="470">
        <f>L*Isw_max^2/(2*Vout_ripple*Vout)*1000000000*((1+M88)/2)^2</f>
        <v>22.244671714791423</v>
      </c>
      <c r="BB88" s="470">
        <f>L*F88^2/(2*Cout*Vout*Nps^2)*1000000000*((1+M88)/(1-M88))^2+F88*RCoutEsr</f>
        <v>23.670276702760027</v>
      </c>
      <c r="BC88" s="6">
        <f t="shared" si="136"/>
        <v>1.3680303456503846</v>
      </c>
      <c r="BD88" s="470">
        <f>((BY88/I88/Efficiency)*AU88/Cin+(BY88/I88/Efficiency)*RCinEsr)*1000</f>
        <v>94.205907980523776</v>
      </c>
      <c r="BE88" s="6"/>
      <c r="BF88" s="178">
        <f t="shared" si="157"/>
        <v>1.057277247014174</v>
      </c>
      <c r="BG88" s="178">
        <f t="shared" si="137"/>
        <v>1.1009038942385652</v>
      </c>
      <c r="BH88" s="178"/>
      <c r="BI88" s="543">
        <f t="shared" si="138"/>
        <v>0.12296186947592579</v>
      </c>
      <c r="BJ88" s="543">
        <f t="shared" si="139"/>
        <v>0.11913449249747773</v>
      </c>
      <c r="BK88" s="543">
        <f t="shared" si="140"/>
        <v>1.7499999999999998E-2</v>
      </c>
      <c r="BL88" s="543">
        <f t="shared" si="141"/>
        <v>5.2216171874999995E-2</v>
      </c>
      <c r="BM88">
        <f t="shared" si="142"/>
        <v>3.9150000000000001E-3</v>
      </c>
      <c r="BN88" s="470">
        <f t="shared" si="158"/>
        <v>315.72753384840354</v>
      </c>
      <c r="BO88" s="543">
        <f t="shared" si="143"/>
        <v>0.2656</v>
      </c>
      <c r="BP88" s="543"/>
      <c r="BR88" s="470">
        <f t="shared" si="159"/>
        <v>265.60000000000002</v>
      </c>
      <c r="BS88" s="543">
        <f t="shared" si="144"/>
        <v>4.4713407082154835E-2</v>
      </c>
      <c r="BT88" s="543">
        <f t="shared" si="145"/>
        <v>4.8479575373985513E-2</v>
      </c>
      <c r="BU88" s="543">
        <f t="shared" si="146"/>
        <v>0</v>
      </c>
      <c r="BV88" s="543">
        <f t="shared" si="147"/>
        <v>9.1736842105263172E-2</v>
      </c>
      <c r="BW88" s="470">
        <f t="shared" si="160"/>
        <v>184.92982456140354</v>
      </c>
      <c r="BX88" s="178">
        <f t="shared" si="161"/>
        <v>0.76625735840980713</v>
      </c>
      <c r="BY88" s="6">
        <f t="shared" si="162"/>
        <v>7.968</v>
      </c>
      <c r="BZ88" s="178">
        <f t="shared" si="163"/>
        <v>0.9122698900471472</v>
      </c>
      <c r="CA88" s="6">
        <f t="shared" si="164"/>
        <v>91.226989004714724</v>
      </c>
      <c r="CD88" s="577">
        <f t="shared" si="148"/>
        <v>-50</v>
      </c>
      <c r="CE88">
        <f t="shared" si="149"/>
        <v>-50</v>
      </c>
    </row>
    <row r="89" spans="5:83" x14ac:dyDescent="0.2">
      <c r="E89" s="175">
        <v>84</v>
      </c>
      <c r="F89" s="222">
        <f t="shared" si="150"/>
        <v>0.67200000000000004</v>
      </c>
      <c r="G89" s="222"/>
      <c r="H89" s="222">
        <f t="shared" si="105"/>
        <v>8.0640000000000001</v>
      </c>
      <c r="I89" s="556">
        <f t="shared" si="106"/>
        <v>13.5</v>
      </c>
      <c r="J89" s="177">
        <f t="shared" si="107"/>
        <v>12.25</v>
      </c>
      <c r="K89" s="452">
        <f t="shared" si="108"/>
        <v>25.75</v>
      </c>
      <c r="L89" s="452"/>
      <c r="M89" s="222">
        <f t="shared" si="109"/>
        <v>0.47572815533980584</v>
      </c>
      <c r="N89" s="177">
        <f t="shared" si="110"/>
        <v>12.507487864077669</v>
      </c>
      <c r="O89" s="177">
        <f t="shared" si="151"/>
        <v>8.0640000000000001</v>
      </c>
      <c r="P89" s="222">
        <f t="shared" si="111"/>
        <v>1.0422906553398057</v>
      </c>
      <c r="Q89" s="222">
        <f t="shared" si="112"/>
        <v>12</v>
      </c>
      <c r="R89" s="222">
        <f t="shared" si="113"/>
        <v>1.0971480582524269</v>
      </c>
      <c r="S89" s="177">
        <f t="shared" si="114"/>
        <v>25.753673284217896</v>
      </c>
      <c r="T89" s="177">
        <f t="shared" si="115"/>
        <v>12</v>
      </c>
      <c r="U89" s="222">
        <f t="shared" si="116"/>
        <v>2.6434085213032583</v>
      </c>
      <c r="V89" s="222">
        <f t="shared" si="117"/>
        <v>1.3706562703053931</v>
      </c>
      <c r="W89" s="222">
        <f t="shared" si="118"/>
        <v>1.5105191550304331</v>
      </c>
      <c r="X89" s="202">
        <f t="shared" si="119"/>
        <v>350</v>
      </c>
      <c r="Y89" s="452">
        <f t="shared" si="152"/>
        <v>347.08056691252716</v>
      </c>
      <c r="AA89" s="222">
        <f t="shared" si="120"/>
        <v>2.6213592233009715</v>
      </c>
      <c r="AB89" s="178">
        <f t="shared" si="121"/>
        <v>1.4979195561719838</v>
      </c>
      <c r="AC89" s="178">
        <f t="shared" si="122"/>
        <v>0.68715241775850722</v>
      </c>
      <c r="AD89" s="178"/>
      <c r="AE89" s="178">
        <f t="shared" si="123"/>
        <v>0.46857142857142853</v>
      </c>
      <c r="AF89" s="560">
        <f>MAX(12, F89/(0.5*AE89/1000000*Isw_min*Nps)/1000)</f>
        <v>3497.9179060083293</v>
      </c>
      <c r="AG89" s="543">
        <f t="shared" si="124"/>
        <v>6.723999999999998E-2</v>
      </c>
      <c r="AI89" s="178">
        <f t="shared" si="125"/>
        <v>2.6596398648174753</v>
      </c>
      <c r="AJ89" s="178">
        <f t="shared" si="126"/>
        <v>2.6596398648174753</v>
      </c>
      <c r="AK89" s="178">
        <f t="shared" si="127"/>
        <v>2.5626961961610926</v>
      </c>
      <c r="AM89" s="560">
        <f t="shared" si="128"/>
        <v>672</v>
      </c>
      <c r="AN89" s="470">
        <f t="shared" si="129"/>
        <v>347.08056691252716</v>
      </c>
      <c r="AP89">
        <f t="shared" si="130"/>
        <v>672</v>
      </c>
      <c r="AQ89" s="470">
        <f t="shared" si="131"/>
        <v>347.08056691252716</v>
      </c>
      <c r="AS89" s="6">
        <f t="shared" si="153"/>
        <v>2.8811754253358259</v>
      </c>
      <c r="AT89" s="6">
        <f t="shared" si="132"/>
        <v>1.3790725224979503</v>
      </c>
      <c r="AU89" s="6">
        <f t="shared" si="154"/>
        <v>1.5021029028378756</v>
      </c>
      <c r="AV89" s="6">
        <f t="shared" si="133"/>
        <v>1.5197942084671288</v>
      </c>
      <c r="AW89" s="178">
        <f t="shared" si="155"/>
        <v>0.47864927292207743</v>
      </c>
      <c r="AX89" s="178">
        <f t="shared" si="134"/>
        <v>8.5929841408238339</v>
      </c>
      <c r="AY89" s="178">
        <f t="shared" si="135"/>
        <v>0.69330258864400918</v>
      </c>
      <c r="AZ89" s="178">
        <f t="shared" si="156"/>
        <v>12.394276729343185</v>
      </c>
      <c r="BA89" s="470">
        <f>L*Isw_max^2/(2*Vout_ripple*Vout)*1000000000*((1+M89)/2)^2</f>
        <v>22.244671714791423</v>
      </c>
      <c r="BB89" s="470">
        <f>L*F89^2/(2*Cout*Vout*Nps^2)*1000000000*((1+M89)/(1-M89))^2+F89*RCoutEsr</f>
        <v>24.219791611942917</v>
      </c>
      <c r="BC89" s="6">
        <f t="shared" si="136"/>
        <v>1.3992298385369579</v>
      </c>
      <c r="BD89" s="470">
        <f>((BY89/I89/Efficiency)*AU89/Cin+(BY89/I89/Efficiency)*RCinEsr)*1000</f>
        <v>96.334329890718365</v>
      </c>
      <c r="BE89" s="6"/>
      <c r="BF89" s="178">
        <f t="shared" si="157"/>
        <v>1.0623580382414712</v>
      </c>
      <c r="BG89" s="178">
        <f t="shared" si="137"/>
        <v>1.1087335727873666</v>
      </c>
      <c r="BH89" s="178"/>
      <c r="BI89" s="543">
        <f t="shared" si="138"/>
        <v>0.12414650615578939</v>
      </c>
      <c r="BJ89" s="543">
        <f t="shared" si="139"/>
        <v>0.11885032392824084</v>
      </c>
      <c r="BK89" s="543">
        <f t="shared" si="140"/>
        <v>1.7354028345626358E-2</v>
      </c>
      <c r="BL89" s="543">
        <f t="shared" si="141"/>
        <v>5.1780624389648443E-2</v>
      </c>
      <c r="BM89">
        <f t="shared" si="142"/>
        <v>3.9150000000000001E-3</v>
      </c>
      <c r="BN89" s="470">
        <f t="shared" si="158"/>
        <v>316.04648281930503</v>
      </c>
      <c r="BO89" s="543">
        <f t="shared" si="143"/>
        <v>0.26880000000000004</v>
      </c>
      <c r="BP89" s="543"/>
      <c r="BR89" s="470">
        <f t="shared" si="159"/>
        <v>268.8</v>
      </c>
      <c r="BS89" s="543">
        <f t="shared" si="144"/>
        <v>4.5144184056650688E-2</v>
      </c>
      <c r="BT89" s="543">
        <f t="shared" si="145"/>
        <v>4.9171605417033554E-2</v>
      </c>
      <c r="BU89" s="543">
        <f t="shared" si="146"/>
        <v>0</v>
      </c>
      <c r="BV89" s="543">
        <f t="shared" si="147"/>
        <v>9.2067687223112524E-2</v>
      </c>
      <c r="BW89" s="470">
        <f t="shared" si="160"/>
        <v>186.38347669679678</v>
      </c>
      <c r="BX89" s="178">
        <f t="shared" si="161"/>
        <v>0.77122995951610185</v>
      </c>
      <c r="BY89" s="6">
        <f t="shared" si="162"/>
        <v>8.0640000000000001</v>
      </c>
      <c r="BZ89" s="178">
        <f t="shared" si="163"/>
        <v>0.91270969029103333</v>
      </c>
      <c r="CA89" s="6">
        <f t="shared" si="164"/>
        <v>91.270969029103327</v>
      </c>
      <c r="CD89" s="577">
        <f t="shared" si="148"/>
        <v>-50</v>
      </c>
      <c r="CE89">
        <f t="shared" si="149"/>
        <v>-50</v>
      </c>
    </row>
    <row r="90" spans="5:83" x14ac:dyDescent="0.2">
      <c r="E90" s="175">
        <v>85</v>
      </c>
      <c r="F90" s="222">
        <f t="shared" si="150"/>
        <v>0.68</v>
      </c>
      <c r="G90" s="222"/>
      <c r="H90" s="222">
        <f t="shared" si="105"/>
        <v>8.16</v>
      </c>
      <c r="I90" s="556">
        <f t="shared" si="106"/>
        <v>13.5</v>
      </c>
      <c r="J90" s="177">
        <f t="shared" si="107"/>
        <v>12.25</v>
      </c>
      <c r="K90" s="452">
        <f t="shared" si="108"/>
        <v>25.75</v>
      </c>
      <c r="L90" s="452"/>
      <c r="M90" s="222">
        <f t="shared" si="109"/>
        <v>0.47572815533980584</v>
      </c>
      <c r="N90" s="177">
        <f t="shared" si="110"/>
        <v>12.507487864077669</v>
      </c>
      <c r="O90" s="177">
        <f t="shared" si="151"/>
        <v>8.16</v>
      </c>
      <c r="P90" s="222">
        <f t="shared" si="111"/>
        <v>1.0422906553398057</v>
      </c>
      <c r="Q90" s="222">
        <f t="shared" si="112"/>
        <v>12</v>
      </c>
      <c r="R90" s="222">
        <f t="shared" si="113"/>
        <v>1.0971480582524269</v>
      </c>
      <c r="S90" s="177">
        <f t="shared" si="114"/>
        <v>25.29571901113437</v>
      </c>
      <c r="T90" s="177">
        <f t="shared" si="115"/>
        <v>12</v>
      </c>
      <c r="U90" s="222">
        <f t="shared" si="116"/>
        <v>2.6748776703663921</v>
      </c>
      <c r="V90" s="222">
        <f t="shared" si="117"/>
        <v>1.3869736068566478</v>
      </c>
      <c r="W90" s="222">
        <f t="shared" si="118"/>
        <v>1.5285015259236527</v>
      </c>
      <c r="X90" s="202">
        <f t="shared" si="119"/>
        <v>350</v>
      </c>
      <c r="Y90" s="452">
        <f t="shared" si="152"/>
        <v>342.99726612532089</v>
      </c>
      <c r="AA90" s="222">
        <f t="shared" si="120"/>
        <v>2.6213592233009715</v>
      </c>
      <c r="AB90" s="178">
        <f t="shared" si="121"/>
        <v>1.4979195561719838</v>
      </c>
      <c r="AC90" s="178">
        <f t="shared" si="122"/>
        <v>0.68715241775850722</v>
      </c>
      <c r="AD90" s="178"/>
      <c r="AE90" s="178">
        <f t="shared" si="123"/>
        <v>0.46857142857142853</v>
      </c>
      <c r="AF90" s="560">
        <f>MAX(12, F90/(0.5*AE90/1000000*Isw_min*Nps)/1000)</f>
        <v>3539.5597858417618</v>
      </c>
      <c r="AG90" s="543">
        <f t="shared" si="124"/>
        <v>6.723999999999998E-2</v>
      </c>
      <c r="AI90" s="178">
        <f t="shared" si="125"/>
        <v>2.675424216239755</v>
      </c>
      <c r="AJ90" s="178">
        <f t="shared" si="126"/>
        <v>2.675424216239755</v>
      </c>
      <c r="AK90" s="178">
        <f t="shared" si="127"/>
        <v>2.5743883083257444</v>
      </c>
      <c r="AM90" s="560">
        <f t="shared" si="128"/>
        <v>680</v>
      </c>
      <c r="AN90" s="470">
        <f t="shared" si="129"/>
        <v>342.99726612532089</v>
      </c>
      <c r="AP90">
        <f t="shared" si="130"/>
        <v>680</v>
      </c>
      <c r="AQ90" s="470">
        <f t="shared" si="131"/>
        <v>342.99726612532089</v>
      </c>
      <c r="AS90" s="6">
        <f t="shared" si="153"/>
        <v>2.9154751327803003</v>
      </c>
      <c r="AT90" s="6">
        <f t="shared" si="132"/>
        <v>1.3872570010132064</v>
      </c>
      <c r="AU90" s="6">
        <f t="shared" si="154"/>
        <v>1.528218131767094</v>
      </c>
      <c r="AV90" s="6">
        <f t="shared" si="133"/>
        <v>1.5288138378512885</v>
      </c>
      <c r="AW90" s="178">
        <f t="shared" si="155"/>
        <v>0.47582535876074133</v>
      </c>
      <c r="AX90" s="178">
        <f t="shared" si="134"/>
        <v>8.5929841408238321</v>
      </c>
      <c r="AY90" s="178">
        <f t="shared" si="135"/>
        <v>0.70119476435514927</v>
      </c>
      <c r="AZ90" s="178">
        <f t="shared" si="156"/>
        <v>12.254775103357101</v>
      </c>
      <c r="BA90" s="470">
        <f>L*Isw_max^2/(2*Vout_ripple*Vout)*1000000000*((1+M90)/2)^2</f>
        <v>22.244671714791423</v>
      </c>
      <c r="BB90" s="470">
        <f>L*F90^2/(2*Cout*Vout*Nps^2)*1000000000*((1+M90)/(1-M90))^2+F90*RCoutEsr</f>
        <v>24.775600112852544</v>
      </c>
      <c r="BC90" s="6">
        <f t="shared" si="136"/>
        <v>1.4405036407733145</v>
      </c>
      <c r="BD90" s="470">
        <f>((BY90/I90/Efficiency)*AU90/Cin+(BY90/I90/Efficiency)*RCinEsr)*1000</f>
        <v>99.142767682023305</v>
      </c>
      <c r="BE90" s="6"/>
      <c r="BF90" s="178">
        <f t="shared" si="157"/>
        <v>1.0655058002547455</v>
      </c>
      <c r="BG90" s="178">
        <f t="shared" si="137"/>
        <v>1.1183301399426722</v>
      </c>
      <c r="BH90" s="178"/>
      <c r="BI90" s="543">
        <f t="shared" si="138"/>
        <v>0.12488328714141561</v>
      </c>
      <c r="BJ90" s="543">
        <f t="shared" si="139"/>
        <v>0.11814913595657334</v>
      </c>
      <c r="BK90" s="543">
        <f t="shared" si="140"/>
        <v>1.7149863306266045E-2</v>
      </c>
      <c r="BL90" s="543">
        <f t="shared" si="141"/>
        <v>5.1171440573299629E-2</v>
      </c>
      <c r="BM90">
        <f t="shared" si="142"/>
        <v>3.9150000000000001E-3</v>
      </c>
      <c r="BN90" s="470">
        <f t="shared" si="158"/>
        <v>315.26872697755465</v>
      </c>
      <c r="BO90" s="543">
        <f t="shared" si="143"/>
        <v>0.27200000000000002</v>
      </c>
      <c r="BP90" s="543"/>
      <c r="BR90" s="470">
        <f t="shared" si="159"/>
        <v>272</v>
      </c>
      <c r="BS90" s="543">
        <f t="shared" si="144"/>
        <v>4.5412104415060224E-2</v>
      </c>
      <c r="BT90" s="543">
        <f t="shared" si="145"/>
        <v>5.0026492076167869E-2</v>
      </c>
      <c r="BU90" s="543">
        <f t="shared" si="146"/>
        <v>0</v>
      </c>
      <c r="BV90" s="543">
        <f t="shared" si="147"/>
        <v>9.2067687223112496E-2</v>
      </c>
      <c r="BW90" s="470">
        <f t="shared" si="160"/>
        <v>187.50628371434058</v>
      </c>
      <c r="BX90" s="178">
        <f t="shared" si="161"/>
        <v>0.77477501069189536</v>
      </c>
      <c r="BY90" s="6">
        <f t="shared" si="162"/>
        <v>8.16</v>
      </c>
      <c r="BZ90" s="178">
        <f t="shared" si="163"/>
        <v>0.91328544817695434</v>
      </c>
      <c r="CA90" s="6">
        <f t="shared" si="164"/>
        <v>91.32854481769543</v>
      </c>
      <c r="CD90" s="577">
        <f t="shared" si="148"/>
        <v>-50</v>
      </c>
      <c r="CE90">
        <f t="shared" si="149"/>
        <v>-50</v>
      </c>
    </row>
    <row r="91" spans="5:83" x14ac:dyDescent="0.2">
      <c r="E91" s="175">
        <v>86</v>
      </c>
      <c r="F91" s="222">
        <f t="shared" si="150"/>
        <v>0.68800000000000006</v>
      </c>
      <c r="G91" s="222"/>
      <c r="H91" s="222">
        <f t="shared" si="105"/>
        <v>8.2560000000000002</v>
      </c>
      <c r="I91" s="556">
        <f t="shared" si="106"/>
        <v>13.5</v>
      </c>
      <c r="J91" s="177">
        <f t="shared" si="107"/>
        <v>12.25</v>
      </c>
      <c r="K91" s="452">
        <f t="shared" si="108"/>
        <v>25.75</v>
      </c>
      <c r="L91" s="452"/>
      <c r="M91" s="222">
        <f t="shared" si="109"/>
        <v>0.47572815533980584</v>
      </c>
      <c r="N91" s="177">
        <f t="shared" si="110"/>
        <v>12.507487864077669</v>
      </c>
      <c r="O91" s="177">
        <f t="shared" si="151"/>
        <v>8.2560000000000002</v>
      </c>
      <c r="P91" s="222">
        <f t="shared" si="111"/>
        <v>1.0422906553398057</v>
      </c>
      <c r="Q91" s="222">
        <f t="shared" si="112"/>
        <v>12</v>
      </c>
      <c r="R91" s="222">
        <f t="shared" si="113"/>
        <v>1.0971480582524269</v>
      </c>
      <c r="S91" s="177">
        <f t="shared" si="114"/>
        <v>24.84849636970214</v>
      </c>
      <c r="T91" s="177">
        <f t="shared" si="115"/>
        <v>12</v>
      </c>
      <c r="U91" s="222">
        <f t="shared" si="116"/>
        <v>2.7063468194295264</v>
      </c>
      <c r="V91" s="222">
        <f t="shared" si="117"/>
        <v>1.4032909434079028</v>
      </c>
      <c r="W91" s="222">
        <f t="shared" si="118"/>
        <v>1.5464838968168724</v>
      </c>
      <c r="X91" s="202">
        <f t="shared" si="119"/>
        <v>350</v>
      </c>
      <c r="Y91" s="452">
        <f t="shared" si="152"/>
        <v>339.00892582153801</v>
      </c>
      <c r="AA91" s="222">
        <f t="shared" si="120"/>
        <v>2.6213592233009715</v>
      </c>
      <c r="AB91" s="178">
        <f t="shared" si="121"/>
        <v>1.4979195561719838</v>
      </c>
      <c r="AC91" s="178">
        <f t="shared" si="122"/>
        <v>0.68715241775850722</v>
      </c>
      <c r="AD91" s="178"/>
      <c r="AE91" s="178">
        <f t="shared" si="123"/>
        <v>0.46857142857142853</v>
      </c>
      <c r="AF91" s="560">
        <f>MAX(12, F91/(0.5*AE91/1000000*Isw_min*Nps)/1000)</f>
        <v>3581.2016656751944</v>
      </c>
      <c r="AG91" s="543">
        <f t="shared" si="124"/>
        <v>6.723999999999998E-2</v>
      </c>
      <c r="AI91" s="178">
        <f t="shared" si="125"/>
        <v>2.6911159884252287</v>
      </c>
      <c r="AJ91" s="178">
        <f t="shared" si="126"/>
        <v>2.7063468194295264</v>
      </c>
      <c r="AK91" s="178">
        <f t="shared" si="127"/>
        <v>2.5972939403181678</v>
      </c>
      <c r="AM91" s="560">
        <f t="shared" si="128"/>
        <v>688</v>
      </c>
      <c r="AN91" s="470">
        <f t="shared" si="129"/>
        <v>339.00892582153801</v>
      </c>
      <c r="AP91">
        <f t="shared" si="130"/>
        <v>688</v>
      </c>
      <c r="AQ91" s="470">
        <f t="shared" si="131"/>
        <v>339.00892582153801</v>
      </c>
      <c r="AS91" s="6">
        <f t="shared" si="153"/>
        <v>2.9497748402247752</v>
      </c>
      <c r="AT91" s="6">
        <f t="shared" si="132"/>
        <v>1.4032909434079028</v>
      </c>
      <c r="AU91" s="6">
        <f t="shared" si="154"/>
        <v>1.5464838968168724</v>
      </c>
      <c r="AV91" s="6">
        <f t="shared" si="133"/>
        <v>1.5464838968168724</v>
      </c>
      <c r="AW91" s="178">
        <f t="shared" si="155"/>
        <v>0.47572815533980584</v>
      </c>
      <c r="AX91" s="178">
        <f t="shared" si="134"/>
        <v>8.690526315789473</v>
      </c>
      <c r="AY91" s="178">
        <f t="shared" si="135"/>
        <v>0.70943071965628357</v>
      </c>
      <c r="AZ91" s="178">
        <f t="shared" si="156"/>
        <v>12.249999999999998</v>
      </c>
      <c r="BA91" s="470">
        <f>L*Isw_max^2/(2*Vout_ripple*Vout)*1000000000*((1+M91)/2)^2</f>
        <v>22.244671714791423</v>
      </c>
      <c r="BB91" s="470">
        <f>L*F91^2/(2*Cout*Vout*Nps^2)*1000000000*((1+M91)/(1-M91))^2+F91*RCoutEsr</f>
        <v>25.33770220548892</v>
      </c>
      <c r="BC91" s="6">
        <f t="shared" si="136"/>
        <v>1.4748706723985385</v>
      </c>
      <c r="BD91" s="470">
        <f>((BY91/I91/Efficiency)*AU91/Cin+(BY91/I91/Efficiency)*RCinEsr)*1000</f>
        <v>101.4849984570768</v>
      </c>
      <c r="BE91" s="6"/>
      <c r="BF91" s="178">
        <f t="shared" si="157"/>
        <v>1.0777108399352069</v>
      </c>
      <c r="BG91" s="178">
        <f t="shared" si="137"/>
        <v>1.1313607063317996</v>
      </c>
      <c r="BH91" s="178"/>
      <c r="BI91" s="543">
        <f t="shared" si="138"/>
        <v>0.12776067199652338</v>
      </c>
      <c r="BJ91" s="543">
        <f t="shared" si="139"/>
        <v>0.11812499999999997</v>
      </c>
      <c r="BK91" s="543">
        <f t="shared" si="140"/>
        <v>1.69504462910769E-2</v>
      </c>
      <c r="BL91" s="543">
        <f t="shared" si="141"/>
        <v>5.0576423822447293E-2</v>
      </c>
      <c r="BM91">
        <f t="shared" si="142"/>
        <v>3.9150000000000001E-3</v>
      </c>
      <c r="BN91" s="470">
        <f t="shared" si="158"/>
        <v>317.32754211004755</v>
      </c>
      <c r="BO91" s="543">
        <f t="shared" si="143"/>
        <v>0.27520000000000006</v>
      </c>
      <c r="BP91" s="543"/>
      <c r="BR91" s="470">
        <f t="shared" si="159"/>
        <v>275.20000000000005</v>
      </c>
      <c r="BS91" s="543">
        <f t="shared" si="144"/>
        <v>4.6458426180553965E-2</v>
      </c>
      <c r="BT91" s="543">
        <f t="shared" si="145"/>
        <v>5.1199081913263549E-2</v>
      </c>
      <c r="BU91" s="543">
        <f t="shared" si="146"/>
        <v>0</v>
      </c>
      <c r="BV91" s="543">
        <f t="shared" si="147"/>
        <v>9.3112781954887203E-2</v>
      </c>
      <c r="BW91" s="470">
        <f t="shared" si="160"/>
        <v>190.77029004870471</v>
      </c>
      <c r="BX91" s="178">
        <f t="shared" si="161"/>
        <v>0.78329783215875226</v>
      </c>
      <c r="BY91" s="6">
        <f t="shared" si="162"/>
        <v>8.2560000000000002</v>
      </c>
      <c r="BZ91" s="178">
        <f t="shared" si="163"/>
        <v>0.91334527894721595</v>
      </c>
      <c r="CA91" s="6">
        <f t="shared" si="164"/>
        <v>91.334527894721589</v>
      </c>
      <c r="CD91" s="577">
        <f t="shared" si="148"/>
        <v>-50</v>
      </c>
      <c r="CE91">
        <f t="shared" si="149"/>
        <v>-50</v>
      </c>
    </row>
    <row r="92" spans="5:83" x14ac:dyDescent="0.2">
      <c r="E92" s="175">
        <v>87</v>
      </c>
      <c r="F92" s="222">
        <f t="shared" si="150"/>
        <v>0.69600000000000006</v>
      </c>
      <c r="G92" s="222"/>
      <c r="H92" s="222">
        <f t="shared" si="105"/>
        <v>8.3520000000000003</v>
      </c>
      <c r="I92" s="556">
        <f t="shared" si="106"/>
        <v>13.5</v>
      </c>
      <c r="J92" s="177">
        <f t="shared" si="107"/>
        <v>12.25</v>
      </c>
      <c r="K92" s="452">
        <f t="shared" si="108"/>
        <v>25.75</v>
      </c>
      <c r="L92" s="452"/>
      <c r="M92" s="222">
        <f t="shared" si="109"/>
        <v>0.47572815533980584</v>
      </c>
      <c r="N92" s="177">
        <f t="shared" si="110"/>
        <v>12.507487864077669</v>
      </c>
      <c r="O92" s="177">
        <f t="shared" si="151"/>
        <v>8.3520000000000003</v>
      </c>
      <c r="P92" s="222">
        <f t="shared" si="111"/>
        <v>1.0422906553398057</v>
      </c>
      <c r="Q92" s="222">
        <f t="shared" si="112"/>
        <v>12</v>
      </c>
      <c r="R92" s="222">
        <f t="shared" si="113"/>
        <v>1.0971480582524269</v>
      </c>
      <c r="S92" s="177">
        <f t="shared" si="114"/>
        <v>24.411636713581611</v>
      </c>
      <c r="T92" s="177">
        <f t="shared" si="115"/>
        <v>12</v>
      </c>
      <c r="U92" s="222">
        <f t="shared" si="116"/>
        <v>2.7378159684926602</v>
      </c>
      <c r="V92" s="222">
        <f t="shared" si="117"/>
        <v>1.4196082799591572</v>
      </c>
      <c r="W92" s="222">
        <f t="shared" si="118"/>
        <v>1.5644662677100916</v>
      </c>
      <c r="X92" s="202">
        <f t="shared" si="119"/>
        <v>350</v>
      </c>
      <c r="Y92" s="452">
        <f t="shared" si="152"/>
        <v>335.11227150175034</v>
      </c>
      <c r="AA92" s="222">
        <f t="shared" si="120"/>
        <v>2.6213592233009715</v>
      </c>
      <c r="AB92" s="178">
        <f t="shared" si="121"/>
        <v>1.4979195561719838</v>
      </c>
      <c r="AC92" s="178">
        <f t="shared" si="122"/>
        <v>0.68715241775850722</v>
      </c>
      <c r="AD92" s="178"/>
      <c r="AE92" s="178">
        <f t="shared" si="123"/>
        <v>0.46857142857142853</v>
      </c>
      <c r="AF92" s="560">
        <f>MAX(12, F92/(0.5*AE92/1000000*Isw_min*Nps)/1000)</f>
        <v>3622.8435455086269</v>
      </c>
      <c r="AG92" s="543">
        <f t="shared" si="124"/>
        <v>6.723999999999998E-2</v>
      </c>
      <c r="AI92" s="178">
        <f t="shared" si="125"/>
        <v>2.7067167915158183</v>
      </c>
      <c r="AJ92" s="178">
        <f t="shared" si="126"/>
        <v>2.7378159684926602</v>
      </c>
      <c r="AK92" s="178">
        <f t="shared" si="127"/>
        <v>2.620604421105674</v>
      </c>
      <c r="AM92" s="560">
        <f t="shared" si="128"/>
        <v>696.00000000000011</v>
      </c>
      <c r="AN92" s="470">
        <f t="shared" si="129"/>
        <v>335.11227150175034</v>
      </c>
      <c r="AP92">
        <f t="shared" si="130"/>
        <v>696.00000000000011</v>
      </c>
      <c r="AQ92" s="470">
        <f t="shared" si="131"/>
        <v>335.11227150175034</v>
      </c>
      <c r="AS92" s="6">
        <f t="shared" si="153"/>
        <v>2.9840745476692483</v>
      </c>
      <c r="AT92" s="6">
        <f t="shared" si="132"/>
        <v>1.4196082799591572</v>
      </c>
      <c r="AU92" s="6">
        <f t="shared" si="154"/>
        <v>1.5644662677100911</v>
      </c>
      <c r="AV92" s="6">
        <f t="shared" si="133"/>
        <v>1.5644662677100916</v>
      </c>
      <c r="AW92" s="178">
        <f t="shared" si="155"/>
        <v>0.47572815533980589</v>
      </c>
      <c r="AX92" s="178">
        <f t="shared" si="134"/>
        <v>8.7915789473684214</v>
      </c>
      <c r="AY92" s="178">
        <f t="shared" si="135"/>
        <v>0.71767991407089149</v>
      </c>
      <c r="AZ92" s="178">
        <f t="shared" si="156"/>
        <v>12.250000000000002</v>
      </c>
      <c r="BA92" s="470">
        <f>L*Isw_max^2/(2*Vout_ripple*Vout)*1000000000*((1+M92)/2)^2</f>
        <v>22.244671714791423</v>
      </c>
      <c r="BB92" s="470">
        <f>L*F92^2/(2*Cout*Vout*Nps^2)*1000000000*((1+M92)/(1-M92))^2+F92*RCoutEsr</f>
        <v>25.906097889852031</v>
      </c>
      <c r="BC92" s="6">
        <f t="shared" si="136"/>
        <v>1.509369405000613</v>
      </c>
      <c r="BD92" s="470">
        <f>((BY92/I92/Efficiency)*AU92/Cin+(BY92/I92/Efficiency)*RCinEsr)*1000</f>
        <v>103.83611904806769</v>
      </c>
      <c r="BE92" s="6"/>
      <c r="BF92" s="178">
        <f t="shared" si="157"/>
        <v>1.0902423613298022</v>
      </c>
      <c r="BG92" s="178">
        <f t="shared" si="137"/>
        <v>1.1445160633821694</v>
      </c>
      <c r="BH92" s="178"/>
      <c r="BI92" s="543">
        <f t="shared" si="138"/>
        <v>0.13074912470817815</v>
      </c>
      <c r="BJ92" s="543">
        <f t="shared" si="139"/>
        <v>0.11812500000000002</v>
      </c>
      <c r="BK92" s="543">
        <f t="shared" si="140"/>
        <v>1.6755613575087515E-2</v>
      </c>
      <c r="BL92" s="543">
        <f t="shared" si="141"/>
        <v>4.9995085617591591E-2</v>
      </c>
      <c r="BM92">
        <f t="shared" si="142"/>
        <v>3.9150000000000001E-3</v>
      </c>
      <c r="BN92" s="470">
        <f t="shared" si="158"/>
        <v>319.5398239008573</v>
      </c>
      <c r="BO92" s="543">
        <f t="shared" si="143"/>
        <v>0.27840000000000004</v>
      </c>
      <c r="BP92" s="543"/>
      <c r="BR92" s="470">
        <f t="shared" si="159"/>
        <v>278.40000000000003</v>
      </c>
      <c r="BS92" s="543">
        <f t="shared" si="144"/>
        <v>4.7545136257519327E-2</v>
      </c>
      <c r="BT92" s="543">
        <f t="shared" si="145"/>
        <v>5.2396680773592719E-2</v>
      </c>
      <c r="BU92" s="543">
        <f t="shared" si="146"/>
        <v>0</v>
      </c>
      <c r="BV92" s="543">
        <f t="shared" si="147"/>
        <v>9.4195488721804541E-2</v>
      </c>
      <c r="BW92" s="470">
        <f t="shared" si="160"/>
        <v>194.1373057529166</v>
      </c>
      <c r="BX92" s="178">
        <f t="shared" si="161"/>
        <v>0.79207712965377386</v>
      </c>
      <c r="BY92" s="6">
        <f t="shared" si="162"/>
        <v>8.3520000000000003</v>
      </c>
      <c r="BZ92" s="178">
        <f t="shared" si="163"/>
        <v>0.91337812242581518</v>
      </c>
      <c r="CA92" s="6">
        <f t="shared" si="164"/>
        <v>91.337812242581521</v>
      </c>
      <c r="CD92" s="577">
        <f t="shared" si="148"/>
        <v>-50</v>
      </c>
      <c r="CE92">
        <f t="shared" si="149"/>
        <v>-50</v>
      </c>
    </row>
    <row r="93" spans="5:83" x14ac:dyDescent="0.2">
      <c r="E93" s="175">
        <v>88</v>
      </c>
      <c r="F93" s="222">
        <f t="shared" si="150"/>
        <v>0.70400000000000007</v>
      </c>
      <c r="G93" s="222"/>
      <c r="H93" s="222">
        <f t="shared" si="105"/>
        <v>8.4480000000000004</v>
      </c>
      <c r="I93" s="556">
        <f t="shared" si="106"/>
        <v>13.5</v>
      </c>
      <c r="J93" s="177">
        <f t="shared" si="107"/>
        <v>12.25</v>
      </c>
      <c r="K93" s="452">
        <f t="shared" si="108"/>
        <v>25.75</v>
      </c>
      <c r="L93" s="452"/>
      <c r="M93" s="222">
        <f t="shared" si="109"/>
        <v>0.47572815533980584</v>
      </c>
      <c r="N93" s="177">
        <f t="shared" si="110"/>
        <v>12.507487864077669</v>
      </c>
      <c r="O93" s="177">
        <f t="shared" si="151"/>
        <v>8.4480000000000004</v>
      </c>
      <c r="P93" s="222">
        <f t="shared" si="111"/>
        <v>1.0422906553398057</v>
      </c>
      <c r="Q93" s="222">
        <f t="shared" si="112"/>
        <v>12</v>
      </c>
      <c r="R93" s="222">
        <f t="shared" si="113"/>
        <v>1.0971480582524269</v>
      </c>
      <c r="S93" s="177">
        <f t="shared" si="114"/>
        <v>23.984788184151654</v>
      </c>
      <c r="T93" s="177">
        <f t="shared" si="115"/>
        <v>12</v>
      </c>
      <c r="U93" s="222">
        <f t="shared" si="116"/>
        <v>2.7692851175557944</v>
      </c>
      <c r="V93" s="222">
        <f t="shared" si="117"/>
        <v>1.435925616510412</v>
      </c>
      <c r="W93" s="222">
        <f t="shared" si="118"/>
        <v>1.5824486386033112</v>
      </c>
      <c r="X93" s="202">
        <f t="shared" si="119"/>
        <v>350</v>
      </c>
      <c r="Y93" s="452">
        <f t="shared" si="152"/>
        <v>331.30417750741219</v>
      </c>
      <c r="AA93" s="222">
        <f t="shared" si="120"/>
        <v>2.6213592233009715</v>
      </c>
      <c r="AB93" s="178">
        <f t="shared" si="121"/>
        <v>1.4979195561719838</v>
      </c>
      <c r="AC93" s="178">
        <f t="shared" si="122"/>
        <v>0.68715241775850722</v>
      </c>
      <c r="AD93" s="178"/>
      <c r="AE93" s="178">
        <f t="shared" si="123"/>
        <v>0.46857142857142853</v>
      </c>
      <c r="AF93" s="560">
        <f>MAX(12, F93/(0.5*AE93/1000000*Isw_min*Nps)/1000)</f>
        <v>3664.4854253420594</v>
      </c>
      <c r="AG93" s="543">
        <f t="shared" si="124"/>
        <v>6.723999999999998E-2</v>
      </c>
      <c r="AI93" s="178">
        <f t="shared" si="125"/>
        <v>2.7222281895148828</v>
      </c>
      <c r="AJ93" s="178">
        <f t="shared" si="126"/>
        <v>2.7692851175557944</v>
      </c>
      <c r="AK93" s="178">
        <f t="shared" si="127"/>
        <v>2.6439149018931811</v>
      </c>
      <c r="AM93" s="560">
        <f t="shared" si="128"/>
        <v>704.00000000000011</v>
      </c>
      <c r="AN93" s="470">
        <f t="shared" si="129"/>
        <v>331.30417750741219</v>
      </c>
      <c r="AP93">
        <f t="shared" si="130"/>
        <v>704.00000000000011</v>
      </c>
      <c r="AQ93" s="470">
        <f t="shared" si="131"/>
        <v>331.30417750741219</v>
      </c>
      <c r="AS93" s="6">
        <f t="shared" si="153"/>
        <v>3.0183742551137231</v>
      </c>
      <c r="AT93" s="6">
        <f t="shared" si="132"/>
        <v>1.435925616510412</v>
      </c>
      <c r="AU93" s="6">
        <f t="shared" si="154"/>
        <v>1.5824486386033112</v>
      </c>
      <c r="AV93" s="6">
        <f t="shared" si="133"/>
        <v>1.5824486386033112</v>
      </c>
      <c r="AW93" s="178">
        <f t="shared" si="155"/>
        <v>0.47572815533980584</v>
      </c>
      <c r="AX93" s="178">
        <f t="shared" si="134"/>
        <v>8.8926315789473698</v>
      </c>
      <c r="AY93" s="178">
        <f t="shared" si="135"/>
        <v>0.72592910848549952</v>
      </c>
      <c r="AZ93" s="178">
        <f t="shared" si="156"/>
        <v>12.250000000000002</v>
      </c>
      <c r="BA93" s="470">
        <f>L*Isw_max^2/(2*Vout_ripple*Vout)*1000000000*((1+M93)/2)^2</f>
        <v>22.244671714791423</v>
      </c>
      <c r="BB93" s="470">
        <f>L*F93^2/(2*Cout*Vout*Nps^2)*1000000000*((1+M93)/(1-M93))^2+F93*RCoutEsr</f>
        <v>26.480787165941891</v>
      </c>
      <c r="BC93" s="6">
        <f t="shared" si="136"/>
        <v>1.5442669668813254</v>
      </c>
      <c r="BD93" s="470">
        <f>((BY93/I93/Efficiency)*AU93/Cin+(BY93/I93/Efficiency)*RCinEsr)*1000</f>
        <v>106.21416061536667</v>
      </c>
      <c r="BE93" s="6"/>
      <c r="BF93" s="178">
        <f t="shared" si="157"/>
        <v>1.1027738827243976</v>
      </c>
      <c r="BG93" s="178">
        <f t="shared" si="137"/>
        <v>1.1576714204325391</v>
      </c>
      <c r="BH93" s="178"/>
      <c r="BI93" s="543">
        <f t="shared" si="138"/>
        <v>0.13377212600609478</v>
      </c>
      <c r="BJ93" s="543">
        <f t="shared" si="139"/>
        <v>0.11812500000000001</v>
      </c>
      <c r="BK93" s="543">
        <f t="shared" si="140"/>
        <v>1.6565208875370607E-2</v>
      </c>
      <c r="BL93" s="543">
        <f t="shared" si="141"/>
        <v>4.9426959644664412E-2</v>
      </c>
      <c r="BM93">
        <f t="shared" si="142"/>
        <v>3.9150000000000001E-3</v>
      </c>
      <c r="BN93" s="470">
        <f t="shared" si="158"/>
        <v>321.80429452612987</v>
      </c>
      <c r="BO93" s="543">
        <f t="shared" si="143"/>
        <v>0.28160000000000002</v>
      </c>
      <c r="BP93" s="543"/>
      <c r="BR93" s="470">
        <f t="shared" si="159"/>
        <v>281.60000000000002</v>
      </c>
      <c r="BS93" s="543">
        <f t="shared" si="144"/>
        <v>4.8644409456761739E-2</v>
      </c>
      <c r="BT93" s="543">
        <f t="shared" si="145"/>
        <v>5.3608124707451708E-2</v>
      </c>
      <c r="BU93" s="543">
        <f t="shared" si="146"/>
        <v>0</v>
      </c>
      <c r="BV93" s="543">
        <f t="shared" si="147"/>
        <v>9.5278195488721809E-2</v>
      </c>
      <c r="BW93" s="470">
        <f t="shared" si="160"/>
        <v>197.53072965293526</v>
      </c>
      <c r="BX93" s="178">
        <f t="shared" si="161"/>
        <v>0.80093502417906515</v>
      </c>
      <c r="BY93" s="6">
        <f t="shared" si="162"/>
        <v>8.4480000000000004</v>
      </c>
      <c r="BZ93" s="178">
        <f t="shared" si="163"/>
        <v>0.91340245962532796</v>
      </c>
      <c r="CA93" s="6">
        <f t="shared" si="164"/>
        <v>91.340245962532791</v>
      </c>
      <c r="CD93" s="577">
        <f t="shared" si="148"/>
        <v>-50</v>
      </c>
      <c r="CE93">
        <f t="shared" si="149"/>
        <v>-50</v>
      </c>
    </row>
    <row r="94" spans="5:83" x14ac:dyDescent="0.2">
      <c r="E94" s="175">
        <v>89</v>
      </c>
      <c r="F94" s="222">
        <f t="shared" si="150"/>
        <v>0.71200000000000008</v>
      </c>
      <c r="G94" s="222"/>
      <c r="H94" s="222">
        <f t="shared" si="105"/>
        <v>8.5440000000000005</v>
      </c>
      <c r="I94" s="556">
        <f t="shared" si="106"/>
        <v>13.5</v>
      </c>
      <c r="J94" s="177">
        <f t="shared" si="107"/>
        <v>12.25</v>
      </c>
      <c r="K94" s="452">
        <f t="shared" si="108"/>
        <v>25.75</v>
      </c>
      <c r="L94" s="452"/>
      <c r="M94" s="222">
        <f t="shared" si="109"/>
        <v>0.47572815533980584</v>
      </c>
      <c r="N94" s="177">
        <f t="shared" si="110"/>
        <v>12.507487864077669</v>
      </c>
      <c r="O94" s="177">
        <f t="shared" si="151"/>
        <v>8.5440000000000005</v>
      </c>
      <c r="P94" s="222">
        <f t="shared" si="111"/>
        <v>1.0422906553398057</v>
      </c>
      <c r="Q94" s="222">
        <f t="shared" si="112"/>
        <v>12</v>
      </c>
      <c r="R94" s="222">
        <f t="shared" si="113"/>
        <v>1.0971480582524269</v>
      </c>
      <c r="S94" s="177">
        <f t="shared" si="114"/>
        <v>23.567614768189308</v>
      </c>
      <c r="T94" s="177">
        <f t="shared" si="115"/>
        <v>12</v>
      </c>
      <c r="U94" s="222">
        <f t="shared" si="116"/>
        <v>2.8007542666189282</v>
      </c>
      <c r="V94" s="222">
        <f t="shared" si="117"/>
        <v>1.4522429530616665</v>
      </c>
      <c r="W94" s="222">
        <f t="shared" si="118"/>
        <v>1.6004310094965304</v>
      </c>
      <c r="X94" s="202">
        <f t="shared" si="119"/>
        <v>350</v>
      </c>
      <c r="Y94" s="452">
        <f t="shared" si="152"/>
        <v>327.58165865901435</v>
      </c>
      <c r="AA94" s="222">
        <f t="shared" si="120"/>
        <v>2.6213592233009715</v>
      </c>
      <c r="AB94" s="178">
        <f t="shared" si="121"/>
        <v>1.4979195561719838</v>
      </c>
      <c r="AC94" s="178">
        <f t="shared" si="122"/>
        <v>0.68715241775850722</v>
      </c>
      <c r="AD94" s="178"/>
      <c r="AE94" s="178">
        <f t="shared" si="123"/>
        <v>0.46857142857142853</v>
      </c>
      <c r="AF94" s="560">
        <f>MAX(12, F94/(0.5*AE94/1000000*Isw_min*Nps)/1000)</f>
        <v>3706.127305175492</v>
      </c>
      <c r="AG94" s="543">
        <f t="shared" si="124"/>
        <v>6.723999999999998E-2</v>
      </c>
      <c r="AI94" s="178">
        <f t="shared" si="125"/>
        <v>2.7376517021172111</v>
      </c>
      <c r="AJ94" s="178">
        <f t="shared" si="126"/>
        <v>2.8007542666189282</v>
      </c>
      <c r="AK94" s="178">
        <f t="shared" si="127"/>
        <v>2.6672253826806878</v>
      </c>
      <c r="AM94" s="560">
        <f t="shared" si="128"/>
        <v>712.00000000000011</v>
      </c>
      <c r="AN94" s="470">
        <f t="shared" si="129"/>
        <v>327.58165865901435</v>
      </c>
      <c r="AP94">
        <f t="shared" si="130"/>
        <v>712.00000000000011</v>
      </c>
      <c r="AQ94" s="470">
        <f t="shared" si="131"/>
        <v>327.58165865901435</v>
      </c>
      <c r="AS94" s="6">
        <f t="shared" si="153"/>
        <v>3.0526739625581967</v>
      </c>
      <c r="AT94" s="6">
        <f t="shared" si="132"/>
        <v>1.4522429530616665</v>
      </c>
      <c r="AU94" s="6">
        <f t="shared" si="154"/>
        <v>1.6004310094965302</v>
      </c>
      <c r="AV94" s="6">
        <f t="shared" si="133"/>
        <v>1.6004310094965304</v>
      </c>
      <c r="AW94" s="178">
        <f t="shared" si="155"/>
        <v>0.47572815533980589</v>
      </c>
      <c r="AX94" s="178">
        <f t="shared" si="134"/>
        <v>8.9936842105263146</v>
      </c>
      <c r="AY94" s="178">
        <f t="shared" si="135"/>
        <v>0.73417830290010744</v>
      </c>
      <c r="AZ94" s="178">
        <f t="shared" si="156"/>
        <v>12.249999999999998</v>
      </c>
      <c r="BA94" s="470">
        <f>L*Isw_max^2/(2*Vout_ripple*Vout)*1000000000*((1+M94)/2)^2</f>
        <v>22.244671714791423</v>
      </c>
      <c r="BB94" s="470">
        <f>L*F94^2/(2*Cout*Vout*Nps^2)*1000000000*((1+M94)/(1-M94))^2+F94*RCoutEsr</f>
        <v>27.061770033758478</v>
      </c>
      <c r="BC94" s="6">
        <f t="shared" si="136"/>
        <v>1.5795633580406734</v>
      </c>
      <c r="BD94" s="470">
        <f>((BY94/I94/Efficiency)*AU94/Cin+(BY94/I94/Efficiency)*RCinEsr)*1000</f>
        <v>108.61912315897354</v>
      </c>
      <c r="BE94" s="6"/>
      <c r="BF94" s="178">
        <f t="shared" si="157"/>
        <v>1.1153054041189931</v>
      </c>
      <c r="BG94" s="178">
        <f t="shared" si="137"/>
        <v>1.1708267774829089</v>
      </c>
      <c r="BH94" s="178"/>
      <c r="BI94" s="543">
        <f t="shared" si="138"/>
        <v>0.13682967589027337</v>
      </c>
      <c r="BJ94" s="543">
        <f t="shared" si="139"/>
        <v>0.11812500000000001</v>
      </c>
      <c r="BK94" s="543">
        <f t="shared" si="140"/>
        <v>1.6379082932950716E-2</v>
      </c>
      <c r="BL94" s="543">
        <f t="shared" si="141"/>
        <v>4.8871600547533353E-2</v>
      </c>
      <c r="BM94">
        <f t="shared" si="142"/>
        <v>3.9150000000000001E-3</v>
      </c>
      <c r="BN94" s="470">
        <f t="shared" si="158"/>
        <v>324.12035937075746</v>
      </c>
      <c r="BO94" s="543">
        <f t="shared" si="143"/>
        <v>0.28480000000000005</v>
      </c>
      <c r="BP94" s="543"/>
      <c r="BR94" s="470">
        <f t="shared" si="159"/>
        <v>284.80000000000007</v>
      </c>
      <c r="BS94" s="543">
        <f t="shared" si="144"/>
        <v>4.9756245778281222E-2</v>
      </c>
      <c r="BT94" s="543">
        <f t="shared" si="145"/>
        <v>5.4833413714840518E-2</v>
      </c>
      <c r="BU94" s="543">
        <f t="shared" si="146"/>
        <v>0</v>
      </c>
      <c r="BV94" s="543">
        <f t="shared" si="147"/>
        <v>9.6360902255639119E-2</v>
      </c>
      <c r="BW94" s="470">
        <f t="shared" si="160"/>
        <v>200.95056174876086</v>
      </c>
      <c r="BX94" s="178">
        <f t="shared" si="161"/>
        <v>0.80987092111951831</v>
      </c>
      <c r="BY94" s="6">
        <f t="shared" si="162"/>
        <v>8.5440000000000005</v>
      </c>
      <c r="BZ94" s="178">
        <f t="shared" si="163"/>
        <v>0.91341863406614243</v>
      </c>
      <c r="CA94" s="6">
        <f t="shared" si="164"/>
        <v>91.341863406614237</v>
      </c>
      <c r="CD94" s="577">
        <f t="shared" si="148"/>
        <v>-50</v>
      </c>
      <c r="CE94">
        <f t="shared" si="149"/>
        <v>-50</v>
      </c>
    </row>
    <row r="95" spans="5:83" x14ac:dyDescent="0.2">
      <c r="E95" s="175">
        <v>90</v>
      </c>
      <c r="F95" s="222">
        <f t="shared" si="150"/>
        <v>0.72000000000000008</v>
      </c>
      <c r="G95" s="222"/>
      <c r="H95" s="222">
        <f t="shared" si="105"/>
        <v>8.64</v>
      </c>
      <c r="I95" s="556">
        <f t="shared" si="106"/>
        <v>13.5</v>
      </c>
      <c r="J95" s="177">
        <f t="shared" si="107"/>
        <v>12.25</v>
      </c>
      <c r="K95" s="452">
        <f t="shared" si="108"/>
        <v>25.75</v>
      </c>
      <c r="L95" s="452"/>
      <c r="M95" s="222">
        <f t="shared" si="109"/>
        <v>0.47572815533980584</v>
      </c>
      <c r="N95" s="177">
        <f t="shared" si="110"/>
        <v>12.507487864077669</v>
      </c>
      <c r="O95" s="177">
        <f t="shared" si="151"/>
        <v>8.64</v>
      </c>
      <c r="P95" s="222">
        <f t="shared" si="111"/>
        <v>1.0422906553398057</v>
      </c>
      <c r="Q95" s="222">
        <f t="shared" si="112"/>
        <v>12</v>
      </c>
      <c r="R95" s="222">
        <f t="shared" si="113"/>
        <v>1.0971480582524269</v>
      </c>
      <c r="S95" s="177">
        <f t="shared" si="114"/>
        <v>23.159795418394513</v>
      </c>
      <c r="T95" s="177">
        <f t="shared" si="115"/>
        <v>12</v>
      </c>
      <c r="U95" s="222">
        <f t="shared" si="116"/>
        <v>2.8322234156820625</v>
      </c>
      <c r="V95" s="222">
        <f t="shared" si="117"/>
        <v>1.4685602896129213</v>
      </c>
      <c r="W95" s="222">
        <f t="shared" si="118"/>
        <v>1.61841338038975</v>
      </c>
      <c r="X95" s="202">
        <f t="shared" si="119"/>
        <v>350</v>
      </c>
      <c r="Y95" s="452">
        <f t="shared" si="152"/>
        <v>323.94186245169192</v>
      </c>
      <c r="AA95" s="222">
        <f t="shared" si="120"/>
        <v>2.6213592233009715</v>
      </c>
      <c r="AB95" s="178">
        <f t="shared" si="121"/>
        <v>1.4979195561719838</v>
      </c>
      <c r="AC95" s="178">
        <f t="shared" si="122"/>
        <v>0.68715241775850722</v>
      </c>
      <c r="AD95" s="178"/>
      <c r="AE95" s="178">
        <f t="shared" si="123"/>
        <v>0.46857142857142853</v>
      </c>
      <c r="AF95" s="560">
        <f>MAX(12, F95/(0.5*AE95/1000000*Isw_min*Nps)/1000)</f>
        <v>3747.7691850089245</v>
      </c>
      <c r="AG95" s="543">
        <f t="shared" si="124"/>
        <v>6.723999999999998E-2</v>
      </c>
      <c r="AI95" s="178">
        <f t="shared" si="125"/>
        <v>2.7529888064467416</v>
      </c>
      <c r="AJ95" s="178">
        <f t="shared" si="126"/>
        <v>2.8322234156820625</v>
      </c>
      <c r="AK95" s="178">
        <f t="shared" si="127"/>
        <v>2.6905358634681944</v>
      </c>
      <c r="AM95" s="560">
        <f t="shared" si="128"/>
        <v>720.00000000000011</v>
      </c>
      <c r="AN95" s="470">
        <f t="shared" si="129"/>
        <v>323.94186245169192</v>
      </c>
      <c r="AP95">
        <f t="shared" si="130"/>
        <v>720.00000000000011</v>
      </c>
      <c r="AQ95" s="470">
        <f t="shared" si="131"/>
        <v>323.94186245169192</v>
      </c>
      <c r="AS95" s="6">
        <f t="shared" si="153"/>
        <v>3.0869736700026715</v>
      </c>
      <c r="AT95" s="6">
        <f t="shared" si="132"/>
        <v>1.4685602896129213</v>
      </c>
      <c r="AU95" s="6">
        <f t="shared" si="154"/>
        <v>1.6184133803897502</v>
      </c>
      <c r="AV95" s="6">
        <f t="shared" si="133"/>
        <v>1.61841338038975</v>
      </c>
      <c r="AW95" s="178">
        <f t="shared" si="155"/>
        <v>0.47572815533980578</v>
      </c>
      <c r="AX95" s="178">
        <f t="shared" si="134"/>
        <v>9.0947368421052612</v>
      </c>
      <c r="AY95" s="178">
        <f t="shared" si="135"/>
        <v>0.74242749731471536</v>
      </c>
      <c r="AZ95" s="178">
        <f t="shared" si="156"/>
        <v>12.249999999999998</v>
      </c>
      <c r="BA95" s="470">
        <f>L*Isw_max^2/(2*Vout_ripple*Vout)*1000000000*((1+M95)/2)^2</f>
        <v>22.244671714791423</v>
      </c>
      <c r="BB95" s="470">
        <f>L*F95^2/(2*Cout*Vout*Nps^2)*1000000000*((1+M95)/(1-M95))^2+F95*RCoutEsr</f>
        <v>27.649046493301821</v>
      </c>
      <c r="BC95" s="6">
        <f t="shared" si="136"/>
        <v>1.6152585784786593</v>
      </c>
      <c r="BD95" s="470">
        <f>((BY95/I95/Efficiency)*AU95/Cin+(BY95/I95/Efficiency)*RCinEsr)*1000</f>
        <v>111.05100667888846</v>
      </c>
      <c r="BE95" s="6"/>
      <c r="BF95" s="178">
        <f t="shared" si="157"/>
        <v>1.1278369255135885</v>
      </c>
      <c r="BG95" s="178">
        <f t="shared" si="137"/>
        <v>1.1839821345332788</v>
      </c>
      <c r="BH95" s="178"/>
      <c r="BI95" s="543">
        <f t="shared" si="138"/>
        <v>0.13992177436071382</v>
      </c>
      <c r="BJ95" s="543">
        <f t="shared" si="139"/>
        <v>0.11812499999999998</v>
      </c>
      <c r="BK95" s="543">
        <f t="shared" si="140"/>
        <v>1.6197093122584594E-2</v>
      </c>
      <c r="BL95" s="543">
        <f t="shared" si="141"/>
        <v>4.8328582763671864E-2</v>
      </c>
      <c r="BM95">
        <f t="shared" si="142"/>
        <v>3.9150000000000001E-3</v>
      </c>
      <c r="BN95" s="470">
        <f t="shared" si="158"/>
        <v>326.48745024697024</v>
      </c>
      <c r="BO95" s="543">
        <f t="shared" si="143"/>
        <v>0.28800000000000003</v>
      </c>
      <c r="BP95" s="543"/>
      <c r="BR95" s="470">
        <f t="shared" si="159"/>
        <v>288.00000000000006</v>
      </c>
      <c r="BS95" s="543">
        <f t="shared" si="144"/>
        <v>5.0880645222077747E-2</v>
      </c>
      <c r="BT95" s="543">
        <f t="shared" si="145"/>
        <v>5.6072547795759167E-2</v>
      </c>
      <c r="BU95" s="543">
        <f t="shared" si="146"/>
        <v>0</v>
      </c>
      <c r="BV95" s="543">
        <f t="shared" si="147"/>
        <v>9.7443609022556402E-2</v>
      </c>
      <c r="BW95" s="470">
        <f t="shared" si="160"/>
        <v>204.39680204039331</v>
      </c>
      <c r="BX95" s="178">
        <f t="shared" si="161"/>
        <v>0.81888425228736361</v>
      </c>
      <c r="BY95" s="6">
        <f t="shared" si="162"/>
        <v>8.64</v>
      </c>
      <c r="BZ95" s="178">
        <f t="shared" si="163"/>
        <v>0.91342697188737254</v>
      </c>
      <c r="CA95" s="6">
        <f t="shared" si="164"/>
        <v>91.342697188737247</v>
      </c>
      <c r="CD95" s="577">
        <f t="shared" si="148"/>
        <v>-50</v>
      </c>
      <c r="CE95">
        <f t="shared" si="149"/>
        <v>-50</v>
      </c>
    </row>
    <row r="96" spans="5:83" x14ac:dyDescent="0.2">
      <c r="E96" s="175">
        <v>91</v>
      </c>
      <c r="F96" s="222">
        <f t="shared" si="150"/>
        <v>0.72800000000000009</v>
      </c>
      <c r="G96" s="222"/>
      <c r="H96" s="222">
        <f t="shared" si="105"/>
        <v>8.7360000000000007</v>
      </c>
      <c r="I96" s="556">
        <f t="shared" si="106"/>
        <v>13.5</v>
      </c>
      <c r="J96" s="177">
        <f t="shared" si="107"/>
        <v>12.25</v>
      </c>
      <c r="K96" s="452">
        <f t="shared" si="108"/>
        <v>25.75</v>
      </c>
      <c r="L96" s="452"/>
      <c r="M96" s="222">
        <f t="shared" si="109"/>
        <v>0.47572815533980584</v>
      </c>
      <c r="N96" s="177">
        <f t="shared" si="110"/>
        <v>12.507487864077669</v>
      </c>
      <c r="O96" s="177">
        <f t="shared" si="151"/>
        <v>8.7360000000000007</v>
      </c>
      <c r="P96" s="222">
        <f t="shared" si="111"/>
        <v>1.0422906553398057</v>
      </c>
      <c r="Q96" s="222">
        <f t="shared" si="112"/>
        <v>12</v>
      </c>
      <c r="R96" s="222">
        <f t="shared" si="113"/>
        <v>1.0971480582524269</v>
      </c>
      <c r="S96" s="177">
        <f t="shared" si="114"/>
        <v>22.761023231926163</v>
      </c>
      <c r="T96" s="222">
        <f t="shared" si="115"/>
        <v>12</v>
      </c>
      <c r="U96" s="222">
        <f t="shared" si="116"/>
        <v>2.8636925647451967</v>
      </c>
      <c r="V96" s="222">
        <f t="shared" si="117"/>
        <v>1.4848776261641761</v>
      </c>
      <c r="W96" s="222">
        <f t="shared" si="118"/>
        <v>1.6363957512829694</v>
      </c>
      <c r="X96" s="202">
        <f t="shared" si="119"/>
        <v>350</v>
      </c>
      <c r="Y96" s="452">
        <f t="shared" si="152"/>
        <v>320.38206176540962</v>
      </c>
      <c r="AA96" s="222">
        <f t="shared" si="120"/>
        <v>2.6213592233009715</v>
      </c>
      <c r="AB96" s="178">
        <f t="shared" si="121"/>
        <v>1.4979195561719838</v>
      </c>
      <c r="AC96" s="178">
        <f t="shared" si="122"/>
        <v>0.68715241775850722</v>
      </c>
      <c r="AD96" s="178"/>
      <c r="AE96" s="178">
        <f t="shared" si="123"/>
        <v>0.46857142857142853</v>
      </c>
      <c r="AF96" s="560">
        <f>MAX(12, F96/(0.5*AE96/1000000*Isw_min*Nps)/1000)</f>
        <v>3789.4110648423566</v>
      </c>
      <c r="AG96" s="543">
        <f t="shared" si="124"/>
        <v>6.723999999999998E-2</v>
      </c>
      <c r="AI96" s="178">
        <f t="shared" si="125"/>
        <v>2.7682409387076201</v>
      </c>
      <c r="AJ96" s="178">
        <f t="shared" si="126"/>
        <v>2.8636925647451967</v>
      </c>
      <c r="AK96" s="178">
        <f t="shared" si="127"/>
        <v>2.7138463442557015</v>
      </c>
      <c r="AM96" s="560">
        <f t="shared" si="128"/>
        <v>728.00000000000011</v>
      </c>
      <c r="AN96" s="470">
        <f t="shared" si="129"/>
        <v>320.38206176540962</v>
      </c>
      <c r="AP96">
        <f t="shared" si="130"/>
        <v>728.00000000000011</v>
      </c>
      <c r="AQ96" s="470">
        <f t="shared" si="131"/>
        <v>320.38206176540962</v>
      </c>
      <c r="AS96" s="6">
        <f t="shared" si="153"/>
        <v>3.1212733774471455</v>
      </c>
      <c r="AT96" s="6">
        <f t="shared" si="132"/>
        <v>1.4848776261641761</v>
      </c>
      <c r="AU96" s="6">
        <f t="shared" si="154"/>
        <v>1.6363957512829694</v>
      </c>
      <c r="AV96" s="6">
        <f t="shared" si="133"/>
        <v>1.6363957512829694</v>
      </c>
      <c r="AW96" s="178">
        <f t="shared" si="155"/>
        <v>0.47572815533980584</v>
      </c>
      <c r="AX96" s="178">
        <f t="shared" si="134"/>
        <v>9.1957894736842132</v>
      </c>
      <c r="AY96" s="178">
        <f t="shared" si="135"/>
        <v>0.75067669172932339</v>
      </c>
      <c r="AZ96" s="178">
        <f t="shared" si="156"/>
        <v>12.250000000000002</v>
      </c>
      <c r="BA96" s="470">
        <f>L*Isw_max^2/(2*Vout_ripple*Vout)*1000000000*((1+M96)/2)^2</f>
        <v>22.244671714791423</v>
      </c>
      <c r="BB96" s="470">
        <f>L*F96^2/(2*Cout*Vout*Nps^2)*1000000000*((1+M96)/(1-M96))^2+F96*RCoutEsr</f>
        <v>28.242616544571899</v>
      </c>
      <c r="BC96" s="6">
        <f t="shared" si="136"/>
        <v>1.6513526281952806</v>
      </c>
      <c r="BD96" s="470">
        <f>((BY96/I96/Efficiency)*AU96/Cin+(BY96/I96/Efficiency)*RCinEsr)*1000</f>
        <v>113.50981117511131</v>
      </c>
      <c r="BE96" s="6"/>
      <c r="BF96" s="178">
        <f t="shared" si="157"/>
        <v>1.1403684469081841</v>
      </c>
      <c r="BG96" s="178">
        <f t="shared" si="137"/>
        <v>1.1971374915836486</v>
      </c>
      <c r="BH96" s="178"/>
      <c r="BI96" s="543">
        <f t="shared" si="138"/>
        <v>0.14304842141741622</v>
      </c>
      <c r="BJ96" s="543">
        <f t="shared" si="139"/>
        <v>0.11812500000000001</v>
      </c>
      <c r="BK96" s="543">
        <f t="shared" si="140"/>
        <v>1.6019103088270481E-2</v>
      </c>
      <c r="BL96" s="543">
        <f t="shared" si="141"/>
        <v>4.7797499436598556E-2</v>
      </c>
      <c r="BM96">
        <f t="shared" si="142"/>
        <v>3.9150000000000001E-3</v>
      </c>
      <c r="BN96" s="470">
        <f t="shared" si="158"/>
        <v>328.90502394228525</v>
      </c>
      <c r="BO96" s="543">
        <f t="shared" si="143"/>
        <v>0.29120000000000007</v>
      </c>
      <c r="BP96" s="543"/>
      <c r="BR96" s="470">
        <f t="shared" si="159"/>
        <v>291.20000000000005</v>
      </c>
      <c r="BS96" s="543">
        <f t="shared" si="144"/>
        <v>5.201760778815135E-2</v>
      </c>
      <c r="BT96" s="543">
        <f t="shared" si="145"/>
        <v>5.7325526950207609E-2</v>
      </c>
      <c r="BU96" s="543">
        <f t="shared" si="146"/>
        <v>0</v>
      </c>
      <c r="BV96" s="543">
        <f t="shared" si="147"/>
        <v>9.8526315789473726E-2</v>
      </c>
      <c r="BW96" s="470">
        <f t="shared" si="160"/>
        <v>207.86945052783267</v>
      </c>
      <c r="BX96" s="178">
        <f t="shared" si="161"/>
        <v>0.82797447447011807</v>
      </c>
      <c r="BY96" s="6">
        <f t="shared" si="162"/>
        <v>8.7360000000000007</v>
      </c>
      <c r="BZ96" s="178">
        <f t="shared" si="163"/>
        <v>0.91342778290758764</v>
      </c>
      <c r="CA96" s="6">
        <f t="shared" si="164"/>
        <v>91.342778290758758</v>
      </c>
      <c r="CD96" s="577">
        <f t="shared" si="148"/>
        <v>-50</v>
      </c>
      <c r="CE96">
        <f t="shared" si="149"/>
        <v>-50</v>
      </c>
    </row>
    <row r="97" spans="5:83" x14ac:dyDescent="0.2">
      <c r="E97" s="175">
        <v>92</v>
      </c>
      <c r="F97" s="222">
        <f t="shared" si="150"/>
        <v>0.7360000000000001</v>
      </c>
      <c r="G97" s="222"/>
      <c r="H97" s="222">
        <f t="shared" si="105"/>
        <v>8.8320000000000007</v>
      </c>
      <c r="I97" s="556">
        <f t="shared" si="106"/>
        <v>13.5</v>
      </c>
      <c r="J97" s="177">
        <f t="shared" si="107"/>
        <v>12.25</v>
      </c>
      <c r="K97" s="452">
        <f t="shared" si="108"/>
        <v>25.75</v>
      </c>
      <c r="L97" s="452"/>
      <c r="M97" s="222">
        <f t="shared" si="109"/>
        <v>0.47572815533980584</v>
      </c>
      <c r="N97" s="177">
        <f t="shared" si="110"/>
        <v>12.507487864077669</v>
      </c>
      <c r="O97" s="177">
        <f t="shared" si="151"/>
        <v>8.8320000000000007</v>
      </c>
      <c r="P97" s="222">
        <f t="shared" si="111"/>
        <v>1.0422906553398057</v>
      </c>
      <c r="Q97" s="222">
        <f t="shared" si="112"/>
        <v>12</v>
      </c>
      <c r="R97" s="222">
        <f t="shared" si="113"/>
        <v>1.0971480582524269</v>
      </c>
      <c r="S97" s="177">
        <f t="shared" si="114"/>
        <v>22.371004682536544</v>
      </c>
      <c r="T97" s="334">
        <f t="shared" si="115"/>
        <v>12</v>
      </c>
      <c r="U97" s="334">
        <f t="shared" si="116"/>
        <v>2.8951617138083305</v>
      </c>
      <c r="V97" s="222">
        <f t="shared" si="117"/>
        <v>1.5011949627154306</v>
      </c>
      <c r="W97" s="222">
        <f t="shared" si="118"/>
        <v>1.6543781221761888</v>
      </c>
      <c r="X97" s="202">
        <f t="shared" si="119"/>
        <v>350</v>
      </c>
      <c r="Y97" s="452">
        <f t="shared" si="152"/>
        <v>316.8996480505682</v>
      </c>
      <c r="AA97" s="222">
        <f t="shared" si="120"/>
        <v>2.6213592233009715</v>
      </c>
      <c r="AB97" s="178">
        <f t="shared" si="121"/>
        <v>1.4979195561719838</v>
      </c>
      <c r="AC97" s="178">
        <f t="shared" si="122"/>
        <v>0.68715241775850722</v>
      </c>
      <c r="AD97" s="178"/>
      <c r="AE97" s="178">
        <f t="shared" si="123"/>
        <v>0.46857142857142853</v>
      </c>
      <c r="AF97" s="560">
        <f>MAX(12, F97/(0.5*AE97/1000000*Isw_min*Nps)/1000)</f>
        <v>3831.0529446757896</v>
      </c>
      <c r="AG97" s="543">
        <f t="shared" si="124"/>
        <v>6.723999999999998E-2</v>
      </c>
      <c r="AI97" s="178">
        <f t="shared" si="125"/>
        <v>2.7834094957538378</v>
      </c>
      <c r="AJ97" s="178">
        <f t="shared" si="126"/>
        <v>2.8951617138083305</v>
      </c>
      <c r="AK97" s="178">
        <f t="shared" si="127"/>
        <v>2.7371568250432077</v>
      </c>
      <c r="AM97" s="560">
        <f t="shared" si="128"/>
        <v>736.00000000000011</v>
      </c>
      <c r="AN97" s="470">
        <f t="shared" si="129"/>
        <v>316.8996480505682</v>
      </c>
      <c r="AP97">
        <f t="shared" si="130"/>
        <v>736.00000000000011</v>
      </c>
      <c r="AQ97" s="470">
        <f t="shared" si="131"/>
        <v>316.8996480505682</v>
      </c>
      <c r="AS97" s="6">
        <f t="shared" si="153"/>
        <v>3.1555730848916195</v>
      </c>
      <c r="AT97" s="6">
        <f t="shared" si="132"/>
        <v>1.5011949627154306</v>
      </c>
      <c r="AU97" s="6">
        <f t="shared" si="154"/>
        <v>1.6543781221761888</v>
      </c>
      <c r="AV97" s="6">
        <f t="shared" si="133"/>
        <v>1.6543781221761888</v>
      </c>
      <c r="AW97" s="178">
        <f t="shared" si="155"/>
        <v>0.47572815533980584</v>
      </c>
      <c r="AX97" s="178">
        <f t="shared" si="134"/>
        <v>9.296842105263158</v>
      </c>
      <c r="AY97" s="178">
        <f t="shared" si="135"/>
        <v>0.75892588614393131</v>
      </c>
      <c r="AZ97" s="178">
        <f t="shared" si="156"/>
        <v>12.25</v>
      </c>
      <c r="BA97" s="470">
        <f>L*Isw_max^2/(2*Vout_ripple*Vout)*1000000000*((1+M97)/2)^2</f>
        <v>22.244671714791423</v>
      </c>
      <c r="BB97" s="470">
        <f>L*F97^2/(2*Cout*Vout*Nps^2)*1000000000*((1+M97)/(1-M97))^2+F97*RCoutEsr</f>
        <v>28.842480187568718</v>
      </c>
      <c r="BC97" s="6">
        <f t="shared" si="136"/>
        <v>1.6878455071905396</v>
      </c>
      <c r="BD97" s="470">
        <f>((BY97/I97/Efficiency)*AU97/Cin+(BY97/I97/Efficiency)*RCinEsr)*1000</f>
        <v>115.9955366476421</v>
      </c>
      <c r="BE97" s="6"/>
      <c r="BF97" s="178">
        <f t="shared" si="157"/>
        <v>1.1528999683027794</v>
      </c>
      <c r="BG97" s="178">
        <f t="shared" si="137"/>
        <v>1.2102928486340183</v>
      </c>
      <c r="BH97" s="178"/>
      <c r="BI97" s="543">
        <f t="shared" si="138"/>
        <v>0.14620961706038049</v>
      </c>
      <c r="BJ97" s="543">
        <f t="shared" si="139"/>
        <v>0.11812499999999998</v>
      </c>
      <c r="BK97" s="543">
        <f t="shared" si="140"/>
        <v>1.584498240252841E-2</v>
      </c>
      <c r="BL97" s="543">
        <f t="shared" si="141"/>
        <v>4.7277961399244221E-2</v>
      </c>
      <c r="BM97">
        <f t="shared" si="142"/>
        <v>3.9150000000000001E-3</v>
      </c>
      <c r="BN97" s="470">
        <f t="shared" si="158"/>
        <v>331.37256086215314</v>
      </c>
      <c r="BO97" s="543">
        <f t="shared" si="143"/>
        <v>0.29440000000000005</v>
      </c>
      <c r="BP97" s="543"/>
      <c r="BR97" s="470">
        <f t="shared" si="159"/>
        <v>294.40000000000003</v>
      </c>
      <c r="BS97" s="543">
        <f t="shared" si="144"/>
        <v>5.3167133476501996E-2</v>
      </c>
      <c r="BT97" s="543">
        <f t="shared" si="145"/>
        <v>5.859235117818587E-2</v>
      </c>
      <c r="BU97" s="543">
        <f t="shared" si="146"/>
        <v>0</v>
      </c>
      <c r="BV97" s="543">
        <f t="shared" si="147"/>
        <v>9.9609022556390994E-2</v>
      </c>
      <c r="BW97" s="470">
        <f t="shared" si="160"/>
        <v>211.36850721107885</v>
      </c>
      <c r="BX97" s="178">
        <f t="shared" si="161"/>
        <v>0.83714106807323208</v>
      </c>
      <c r="BY97" s="6">
        <f t="shared" si="162"/>
        <v>8.8320000000000007</v>
      </c>
      <c r="BZ97" s="178">
        <f t="shared" si="163"/>
        <v>0.91342136161014265</v>
      </c>
      <c r="CA97" s="6">
        <f t="shared" si="164"/>
        <v>91.342136161014267</v>
      </c>
      <c r="CD97" s="577">
        <f t="shared" si="148"/>
        <v>-50</v>
      </c>
      <c r="CE97">
        <f t="shared" si="149"/>
        <v>-50</v>
      </c>
    </row>
    <row r="98" spans="5:83" x14ac:dyDescent="0.2">
      <c r="E98" s="175">
        <v>93</v>
      </c>
      <c r="F98" s="222">
        <f t="shared" si="150"/>
        <v>0.74400000000000011</v>
      </c>
      <c r="G98" s="222"/>
      <c r="H98" s="222">
        <f t="shared" si="105"/>
        <v>8.9280000000000008</v>
      </c>
      <c r="I98" s="556">
        <f t="shared" si="106"/>
        <v>13.5</v>
      </c>
      <c r="J98" s="177">
        <f t="shared" si="107"/>
        <v>12.25</v>
      </c>
      <c r="K98" s="452">
        <f t="shared" si="108"/>
        <v>25.75</v>
      </c>
      <c r="L98" s="452"/>
      <c r="M98" s="222">
        <f t="shared" si="109"/>
        <v>0.47572815533980584</v>
      </c>
      <c r="N98" s="177">
        <f t="shared" si="110"/>
        <v>12.507487864077669</v>
      </c>
      <c r="O98" s="177">
        <f t="shared" si="151"/>
        <v>8.9280000000000008</v>
      </c>
      <c r="P98" s="222">
        <f t="shared" si="111"/>
        <v>1.0422906553398057</v>
      </c>
      <c r="Q98" s="222">
        <f t="shared" si="112"/>
        <v>12</v>
      </c>
      <c r="R98" s="222">
        <f t="shared" si="113"/>
        <v>1.0971480582524269</v>
      </c>
      <c r="S98" s="177">
        <f t="shared" si="114"/>
        <v>21.989458902270336</v>
      </c>
      <c r="T98" s="334">
        <f t="shared" si="115"/>
        <v>12</v>
      </c>
      <c r="U98" s="334">
        <f t="shared" si="116"/>
        <v>2.9266308628714648</v>
      </c>
      <c r="V98" s="222">
        <f t="shared" si="117"/>
        <v>1.5175122992666852</v>
      </c>
      <c r="W98" s="222">
        <f t="shared" si="118"/>
        <v>1.6723604930694085</v>
      </c>
      <c r="X98" s="202">
        <f t="shared" si="119"/>
        <v>350</v>
      </c>
      <c r="Y98" s="452">
        <f t="shared" si="152"/>
        <v>313.49212495325025</v>
      </c>
      <c r="AA98" s="222">
        <f t="shared" si="120"/>
        <v>2.6213592233009715</v>
      </c>
      <c r="AB98" s="178">
        <f t="shared" si="121"/>
        <v>1.4979195561719838</v>
      </c>
      <c r="AC98" s="178">
        <f t="shared" si="122"/>
        <v>0.68715241775850722</v>
      </c>
      <c r="AD98" s="178"/>
      <c r="AE98" s="178">
        <f t="shared" si="123"/>
        <v>0.46857142857142853</v>
      </c>
      <c r="AF98" s="560">
        <f>MAX(12, F98/(0.5*AE98/1000000*Isw_min*Nps)/1000)</f>
        <v>3872.6948245092221</v>
      </c>
      <c r="AG98" s="543">
        <f t="shared" si="124"/>
        <v>6.723999999999998E-2</v>
      </c>
      <c r="AI98" s="178">
        <f t="shared" si="125"/>
        <v>2.7984958365822923</v>
      </c>
      <c r="AJ98" s="178">
        <f t="shared" si="126"/>
        <v>2.9266308628714648</v>
      </c>
      <c r="AK98" s="178">
        <f t="shared" si="127"/>
        <v>2.7604673058307148</v>
      </c>
      <c r="AM98" s="560">
        <f t="shared" si="128"/>
        <v>744.00000000000011</v>
      </c>
      <c r="AN98" s="470">
        <f t="shared" si="129"/>
        <v>313.49212495325025</v>
      </c>
      <c r="AP98">
        <f t="shared" si="130"/>
        <v>744.00000000000011</v>
      </c>
      <c r="AQ98" s="470">
        <f t="shared" si="131"/>
        <v>313.49212495325025</v>
      </c>
      <c r="AS98" s="6">
        <f t="shared" si="153"/>
        <v>3.1898727923360939</v>
      </c>
      <c r="AT98" s="6">
        <f t="shared" si="132"/>
        <v>1.5175122992666852</v>
      </c>
      <c r="AU98" s="6">
        <f t="shared" si="154"/>
        <v>1.6723604930694087</v>
      </c>
      <c r="AV98" s="6">
        <f t="shared" si="133"/>
        <v>1.6723604930694085</v>
      </c>
      <c r="AW98" s="178">
        <f t="shared" si="155"/>
        <v>0.47572815533980572</v>
      </c>
      <c r="AX98" s="178">
        <f t="shared" si="134"/>
        <v>9.3978947368421064</v>
      </c>
      <c r="AY98" s="178">
        <f t="shared" si="135"/>
        <v>0.76717508055853945</v>
      </c>
      <c r="AZ98" s="178">
        <f t="shared" si="156"/>
        <v>12.249999999999998</v>
      </c>
      <c r="BA98" s="470">
        <f>L*Isw_max^2/(2*Vout_ripple*Vout)*1000000000*((1+M98)/2)^2</f>
        <v>22.244671714791423</v>
      </c>
      <c r="BB98" s="470">
        <f>L*F98^2/(2*Cout*Vout*Nps^2)*1000000000*((1+M98)/(1-M98))^2+F98*RCoutEsr</f>
        <v>29.448637422292276</v>
      </c>
      <c r="BC98" s="6">
        <f t="shared" si="136"/>
        <v>1.7247372154644351</v>
      </c>
      <c r="BD98" s="470">
        <f>((BY98/I98/Efficiency)*AU98/Cin+(BY98/I98/Efficiency)*RCinEsr)*1000</f>
        <v>118.50818309648098</v>
      </c>
      <c r="BE98" s="6"/>
      <c r="BF98" s="178">
        <f t="shared" si="157"/>
        <v>1.165431489697375</v>
      </c>
      <c r="BG98" s="178">
        <f t="shared" si="137"/>
        <v>1.2234482056843883</v>
      </c>
      <c r="BH98" s="178"/>
      <c r="BI98" s="543">
        <f t="shared" si="138"/>
        <v>0.14940536128960669</v>
      </c>
      <c r="BJ98" s="543">
        <f t="shared" si="139"/>
        <v>0.11812500000000002</v>
      </c>
      <c r="BK98" s="543">
        <f t="shared" si="140"/>
        <v>1.5674606247662509E-2</v>
      </c>
      <c r="BL98" s="543">
        <f t="shared" si="141"/>
        <v>4.6769596222908258E-2</v>
      </c>
      <c r="BM98">
        <f t="shared" si="142"/>
        <v>3.9150000000000001E-3</v>
      </c>
      <c r="BN98" s="470">
        <f t="shared" si="158"/>
        <v>333.88956376017745</v>
      </c>
      <c r="BO98" s="543">
        <f t="shared" si="143"/>
        <v>0.29760000000000003</v>
      </c>
      <c r="BP98" s="543"/>
      <c r="BR98" s="470">
        <f t="shared" si="159"/>
        <v>297.60000000000002</v>
      </c>
      <c r="BS98" s="543">
        <f t="shared" si="144"/>
        <v>5.4329222287129712E-2</v>
      </c>
      <c r="BT98" s="543">
        <f t="shared" si="145"/>
        <v>5.9873020479693971E-2</v>
      </c>
      <c r="BU98" s="543">
        <f t="shared" si="146"/>
        <v>0</v>
      </c>
      <c r="BV98" s="543">
        <f t="shared" si="147"/>
        <v>0.1006917293233083</v>
      </c>
      <c r="BW98" s="470">
        <f t="shared" si="160"/>
        <v>214.893972090132</v>
      </c>
      <c r="BX98" s="178">
        <f t="shared" si="161"/>
        <v>0.84638353585030945</v>
      </c>
      <c r="BY98" s="6">
        <f t="shared" si="162"/>
        <v>8.9280000000000008</v>
      </c>
      <c r="BZ98" s="178">
        <f t="shared" si="163"/>
        <v>0.91340798805919998</v>
      </c>
      <c r="CA98" s="6">
        <f t="shared" si="164"/>
        <v>91.340798805920002</v>
      </c>
      <c r="CD98" s="577">
        <f t="shared" si="148"/>
        <v>-50</v>
      </c>
      <c r="CE98">
        <f t="shared" si="149"/>
        <v>-50</v>
      </c>
    </row>
    <row r="99" spans="5:83" x14ac:dyDescent="0.2">
      <c r="E99" s="175">
        <v>94</v>
      </c>
      <c r="F99" s="222">
        <f t="shared" si="150"/>
        <v>0.752</v>
      </c>
      <c r="G99" s="222"/>
      <c r="H99" s="222">
        <f t="shared" si="105"/>
        <v>9.0240000000000009</v>
      </c>
      <c r="I99" s="556">
        <f t="shared" si="106"/>
        <v>13.5</v>
      </c>
      <c r="J99" s="177">
        <f t="shared" si="107"/>
        <v>12.25</v>
      </c>
      <c r="K99" s="452">
        <f t="shared" si="108"/>
        <v>25.75</v>
      </c>
      <c r="L99" s="452"/>
      <c r="M99" s="222">
        <f t="shared" si="109"/>
        <v>0.47572815533980584</v>
      </c>
      <c r="N99" s="177">
        <f t="shared" si="110"/>
        <v>12.507487864077669</v>
      </c>
      <c r="O99" s="177">
        <f t="shared" si="151"/>
        <v>9.0240000000000009</v>
      </c>
      <c r="P99" s="222">
        <f t="shared" si="111"/>
        <v>1.0422906553398057</v>
      </c>
      <c r="Q99" s="222">
        <f t="shared" si="112"/>
        <v>12</v>
      </c>
      <c r="R99" s="222">
        <f t="shared" si="113"/>
        <v>1.0971480582524269</v>
      </c>
      <c r="S99" s="177">
        <f t="shared" si="114"/>
        <v>21.616117009038248</v>
      </c>
      <c r="T99" s="334">
        <f t="shared" si="115"/>
        <v>12</v>
      </c>
      <c r="U99" s="334">
        <f t="shared" si="116"/>
        <v>2.9581000119345986</v>
      </c>
      <c r="V99" s="222">
        <f t="shared" si="117"/>
        <v>1.5338296358179397</v>
      </c>
      <c r="W99" s="222">
        <f t="shared" si="118"/>
        <v>1.6903428639626277</v>
      </c>
      <c r="X99" s="202">
        <f t="shared" si="119"/>
        <v>350</v>
      </c>
      <c r="Y99" s="452">
        <f t="shared" si="152"/>
        <v>310.15710234736463</v>
      </c>
      <c r="AA99" s="222">
        <f t="shared" si="120"/>
        <v>2.6213592233009715</v>
      </c>
      <c r="AB99" s="178">
        <f t="shared" si="121"/>
        <v>1.4979195561719838</v>
      </c>
      <c r="AC99" s="178">
        <f t="shared" si="122"/>
        <v>0.68715241775850722</v>
      </c>
      <c r="AD99" s="178"/>
      <c r="AE99" s="178">
        <f t="shared" si="123"/>
        <v>0.46857142857142853</v>
      </c>
      <c r="AF99" s="560">
        <f>MAX(12, F99/(0.5*AE99/1000000*Isw_min*Nps)/1000)</f>
        <v>3914.3367043426538</v>
      </c>
      <c r="AG99" s="543">
        <f t="shared" si="124"/>
        <v>6.723999999999998E-2</v>
      </c>
      <c r="AI99" s="178">
        <f t="shared" si="125"/>
        <v>2.8135012837537876</v>
      </c>
      <c r="AJ99" s="178">
        <f t="shared" si="126"/>
        <v>2.9581000119345986</v>
      </c>
      <c r="AK99" s="178">
        <f t="shared" si="127"/>
        <v>2.783777786618221</v>
      </c>
      <c r="AM99" s="560">
        <f t="shared" si="128"/>
        <v>752</v>
      </c>
      <c r="AN99" s="470">
        <f t="shared" si="129"/>
        <v>310.15710234736463</v>
      </c>
      <c r="AP99">
        <f t="shared" si="130"/>
        <v>752</v>
      </c>
      <c r="AQ99" s="470">
        <f t="shared" si="131"/>
        <v>310.15710234736463</v>
      </c>
      <c r="AS99" s="6">
        <f t="shared" si="153"/>
        <v>3.2241724997805674</v>
      </c>
      <c r="AT99" s="6">
        <f t="shared" si="132"/>
        <v>1.5338296358179397</v>
      </c>
      <c r="AU99" s="6">
        <f t="shared" si="154"/>
        <v>1.6903428639626277</v>
      </c>
      <c r="AV99" s="6">
        <f t="shared" si="133"/>
        <v>1.6903428639626277</v>
      </c>
      <c r="AW99" s="178">
        <f t="shared" si="155"/>
        <v>0.47572815533980578</v>
      </c>
      <c r="AX99" s="178">
        <f t="shared" si="134"/>
        <v>9.4989473684210513</v>
      </c>
      <c r="AY99" s="178">
        <f t="shared" si="135"/>
        <v>0.77542427497314714</v>
      </c>
      <c r="AZ99" s="178">
        <f t="shared" si="156"/>
        <v>12.249999999999998</v>
      </c>
      <c r="BA99" s="470">
        <f>L*Isw_max^2/(2*Vout_ripple*Vout)*1000000000*((1+M99)/2)^2</f>
        <v>22.244671714791423</v>
      </c>
      <c r="BB99" s="470">
        <f>L*F99^2/(2*Cout*Vout*Nps^2)*1000000000*((1+M99)/(1-M99))^2+F99*RCoutEsr</f>
        <v>30.061088248742575</v>
      </c>
      <c r="BC99" s="6">
        <f t="shared" si="136"/>
        <v>1.7620277530169668</v>
      </c>
      <c r="BD99" s="470">
        <f>((BY99/I99/Efficiency)*AU99/Cin+(BY99/I99/Efficiency)*RCinEsr)*1000</f>
        <v>121.04775052162772</v>
      </c>
      <c r="BE99" s="6"/>
      <c r="BF99" s="178">
        <f t="shared" si="157"/>
        <v>1.1779630110919703</v>
      </c>
      <c r="BG99" s="178">
        <f t="shared" si="137"/>
        <v>1.2366035627347578</v>
      </c>
      <c r="BH99" s="178"/>
      <c r="BI99" s="543">
        <f t="shared" si="138"/>
        <v>0.15263565410509475</v>
      </c>
      <c r="BJ99" s="543">
        <f t="shared" si="139"/>
        <v>0.11812500000000001</v>
      </c>
      <c r="BK99" s="543">
        <f t="shared" si="140"/>
        <v>1.5507855117368231E-2</v>
      </c>
      <c r="BL99" s="543">
        <f t="shared" si="141"/>
        <v>4.6272047326919877E-2</v>
      </c>
      <c r="BM99">
        <f t="shared" si="142"/>
        <v>3.9150000000000001E-3</v>
      </c>
      <c r="BN99" s="470">
        <f t="shared" si="158"/>
        <v>336.45555654938283</v>
      </c>
      <c r="BO99" s="543">
        <f t="shared" si="143"/>
        <v>0.30080000000000001</v>
      </c>
      <c r="BP99" s="543"/>
      <c r="BR99" s="470">
        <f t="shared" si="159"/>
        <v>300.8</v>
      </c>
      <c r="BS99" s="543">
        <f t="shared" si="144"/>
        <v>5.5503874220034451E-2</v>
      </c>
      <c r="BT99" s="543">
        <f t="shared" si="145"/>
        <v>6.1167534854731843E-2</v>
      </c>
      <c r="BU99" s="543">
        <f t="shared" si="146"/>
        <v>0</v>
      </c>
      <c r="BV99" s="543">
        <f t="shared" si="147"/>
        <v>0.10177443609022559</v>
      </c>
      <c r="BW99" s="470">
        <f t="shared" si="160"/>
        <v>218.44584516499188</v>
      </c>
      <c r="BX99" s="178">
        <f t="shared" si="161"/>
        <v>0.85570140171437481</v>
      </c>
      <c r="BY99" s="6">
        <f t="shared" si="162"/>
        <v>9.0240000000000009</v>
      </c>
      <c r="BZ99" s="178">
        <f t="shared" si="163"/>
        <v>0.91338792875198738</v>
      </c>
      <c r="CA99" s="6">
        <f t="shared" si="164"/>
        <v>91.338792875198735</v>
      </c>
      <c r="CD99" s="577">
        <f t="shared" si="148"/>
        <v>-50</v>
      </c>
      <c r="CE99">
        <f t="shared" si="149"/>
        <v>-50</v>
      </c>
    </row>
    <row r="100" spans="5:83" x14ac:dyDescent="0.2">
      <c r="E100" s="175">
        <v>95</v>
      </c>
      <c r="F100" s="222">
        <f t="shared" si="150"/>
        <v>0.76</v>
      </c>
      <c r="G100" s="222"/>
      <c r="H100" s="222">
        <f t="shared" si="105"/>
        <v>9.120000000000001</v>
      </c>
      <c r="I100" s="556">
        <f t="shared" si="106"/>
        <v>13.5</v>
      </c>
      <c r="J100" s="177">
        <f t="shared" si="107"/>
        <v>12.25</v>
      </c>
      <c r="K100" s="452">
        <f t="shared" si="108"/>
        <v>25.75</v>
      </c>
      <c r="L100" s="452"/>
      <c r="M100" s="222">
        <f t="shared" si="109"/>
        <v>0.47572815533980584</v>
      </c>
      <c r="N100" s="177">
        <f t="shared" si="110"/>
        <v>12.507487864077669</v>
      </c>
      <c r="O100" s="177">
        <f t="shared" si="151"/>
        <v>9.120000000000001</v>
      </c>
      <c r="P100" s="222">
        <f t="shared" si="111"/>
        <v>1.0422906553398057</v>
      </c>
      <c r="Q100" s="222">
        <f t="shared" si="112"/>
        <v>12</v>
      </c>
      <c r="R100" s="222">
        <f t="shared" si="113"/>
        <v>1.0971480582524269</v>
      </c>
      <c r="S100" s="177">
        <f t="shared" si="114"/>
        <v>21.250721476685545</v>
      </c>
      <c r="T100" s="334">
        <f t="shared" si="115"/>
        <v>12</v>
      </c>
      <c r="U100" s="334">
        <f t="shared" si="116"/>
        <v>2.9895691609977328</v>
      </c>
      <c r="V100" s="222">
        <f t="shared" si="117"/>
        <v>1.550146972369195</v>
      </c>
      <c r="W100" s="222">
        <f t="shared" si="118"/>
        <v>1.7083252348558475</v>
      </c>
      <c r="X100" s="202">
        <f t="shared" si="119"/>
        <v>350</v>
      </c>
      <c r="Y100" s="452">
        <f t="shared" si="152"/>
        <v>306.89229074370803</v>
      </c>
      <c r="AA100" s="222">
        <f t="shared" si="120"/>
        <v>2.6213592233009715</v>
      </c>
      <c r="AB100" s="178">
        <f t="shared" si="121"/>
        <v>1.4979195561719838</v>
      </c>
      <c r="AC100" s="178">
        <f t="shared" si="122"/>
        <v>0.68715241775850722</v>
      </c>
      <c r="AD100" s="178"/>
      <c r="AE100" s="178">
        <f t="shared" si="123"/>
        <v>0.46857142857142853</v>
      </c>
      <c r="AF100" s="560">
        <f>MAX(12, F100/(0.5*AE100/1000000*Isw_min*Nps)/1000)</f>
        <v>3955.9785841760863</v>
      </c>
      <c r="AG100" s="543">
        <f t="shared" si="124"/>
        <v>6.723999999999998E-2</v>
      </c>
      <c r="AI100" s="178">
        <f t="shared" si="125"/>
        <v>2.8284271247461903</v>
      </c>
      <c r="AJ100" s="178">
        <f t="shared" si="126"/>
        <v>2.9895691609977328</v>
      </c>
      <c r="AK100" s="178">
        <f t="shared" si="127"/>
        <v>2.807088267405728</v>
      </c>
      <c r="AM100" s="560">
        <f t="shared" si="128"/>
        <v>760</v>
      </c>
      <c r="AN100" s="470">
        <f t="shared" si="129"/>
        <v>306.89229074370803</v>
      </c>
      <c r="AP100">
        <f t="shared" si="130"/>
        <v>760</v>
      </c>
      <c r="AQ100" s="470">
        <f t="shared" si="131"/>
        <v>306.89229074370803</v>
      </c>
      <c r="AS100" s="6">
        <f t="shared" si="153"/>
        <v>3.2584722072250432</v>
      </c>
      <c r="AT100" s="6">
        <f t="shared" si="132"/>
        <v>1.550146972369195</v>
      </c>
      <c r="AU100" s="6">
        <f t="shared" si="154"/>
        <v>1.7083252348558482</v>
      </c>
      <c r="AV100" s="6">
        <f t="shared" si="133"/>
        <v>1.7083252348558475</v>
      </c>
      <c r="AW100" s="178">
        <f t="shared" si="155"/>
        <v>0.47572815533980572</v>
      </c>
      <c r="AX100" s="178">
        <f t="shared" si="134"/>
        <v>9.5999999999999979</v>
      </c>
      <c r="AY100" s="178">
        <f t="shared" si="135"/>
        <v>0.78367346938775539</v>
      </c>
      <c r="AZ100" s="178">
        <f t="shared" si="156"/>
        <v>12.249999999999993</v>
      </c>
      <c r="BA100" s="470">
        <f>L*Isw_max^2/(2*Vout_ripple*Vout)*1000000000*((1+M100)/2)^2</f>
        <v>22.244671714791423</v>
      </c>
      <c r="BB100" s="470">
        <f>L*F100^2/(2*Cout*Vout*Nps^2)*1000000000*((1+M100)/(1-M100))^2+F100*RCoutEsr</f>
        <v>30.679832666919612</v>
      </c>
      <c r="BC100" s="6">
        <f t="shared" si="136"/>
        <v>1.7997171198481365</v>
      </c>
      <c r="BD100" s="470">
        <f>((BY100/I100/Efficiency)*AU100/Cin+(BY100/I100/Efficiency)*RCinEsr)*1000</f>
        <v>123.61423892308252</v>
      </c>
      <c r="BE100" s="6"/>
      <c r="BF100" s="178">
        <f t="shared" si="157"/>
        <v>1.1904945324865657</v>
      </c>
      <c r="BG100" s="178">
        <f t="shared" si="137"/>
        <v>1.2497589197851278</v>
      </c>
      <c r="BH100" s="178"/>
      <c r="BI100" s="543">
        <f t="shared" si="138"/>
        <v>0.15590049550684473</v>
      </c>
      <c r="BJ100" s="543">
        <f t="shared" si="139"/>
        <v>0.11812499999999997</v>
      </c>
      <c r="BK100" s="543">
        <f t="shared" si="140"/>
        <v>1.5344614537185402E-2</v>
      </c>
      <c r="BL100" s="543">
        <f t="shared" si="141"/>
        <v>4.5784973144531227E-2</v>
      </c>
      <c r="BM100">
        <f t="shared" si="142"/>
        <v>3.9150000000000001E-3</v>
      </c>
      <c r="BN100" s="470">
        <f t="shared" si="158"/>
        <v>339.07008318856128</v>
      </c>
      <c r="BO100" s="543">
        <f t="shared" si="143"/>
        <v>0.30400000000000005</v>
      </c>
      <c r="BP100" s="543"/>
      <c r="BR100" s="470">
        <f t="shared" si="159"/>
        <v>304.00000000000006</v>
      </c>
      <c r="BS100" s="543">
        <f t="shared" si="144"/>
        <v>5.6691089275216267E-2</v>
      </c>
      <c r="BT100" s="543">
        <f t="shared" si="145"/>
        <v>6.2475894303299584E-2</v>
      </c>
      <c r="BU100" s="543">
        <f t="shared" si="146"/>
        <v>0</v>
      </c>
      <c r="BV100" s="543">
        <f t="shared" si="147"/>
        <v>0.10285714285714286</v>
      </c>
      <c r="BW100" s="470">
        <f t="shared" si="160"/>
        <v>222.02412643565873</v>
      </c>
      <c r="BX100" s="178">
        <f t="shared" si="161"/>
        <v>0.86509420962422012</v>
      </c>
      <c r="BY100" s="6">
        <f t="shared" si="162"/>
        <v>9.120000000000001</v>
      </c>
      <c r="BZ100" s="178">
        <f t="shared" si="163"/>
        <v>0.91336143741233899</v>
      </c>
      <c r="CA100" s="6">
        <f t="shared" si="164"/>
        <v>91.336143741233897</v>
      </c>
      <c r="CD100" s="577">
        <f t="shared" si="148"/>
        <v>-50</v>
      </c>
      <c r="CE100">
        <f t="shared" si="149"/>
        <v>-50</v>
      </c>
    </row>
    <row r="101" spans="5:83" x14ac:dyDescent="0.2">
      <c r="E101" s="175">
        <v>96</v>
      </c>
      <c r="F101" s="222">
        <f t="shared" si="150"/>
        <v>0.76800000000000002</v>
      </c>
      <c r="G101" s="222"/>
      <c r="H101" s="222">
        <f t="shared" ref="H101:H105" si="165">F101*Vout</f>
        <v>9.2160000000000011</v>
      </c>
      <c r="I101" s="556">
        <f t="shared" si="106"/>
        <v>13.5</v>
      </c>
      <c r="J101" s="177">
        <f t="shared" si="107"/>
        <v>12.25</v>
      </c>
      <c r="K101" s="452">
        <f t="shared" si="108"/>
        <v>25.75</v>
      </c>
      <c r="L101" s="452"/>
      <c r="M101" s="222">
        <f t="shared" si="109"/>
        <v>0.47572815533980584</v>
      </c>
      <c r="N101" s="177">
        <f t="shared" si="110"/>
        <v>12.507487864077669</v>
      </c>
      <c r="O101" s="177">
        <f t="shared" si="151"/>
        <v>9.2160000000000011</v>
      </c>
      <c r="P101" s="222">
        <f t="shared" ref="P101:P105" si="166">N101/Vout</f>
        <v>1.0422906553398057</v>
      </c>
      <c r="Q101" s="222">
        <f t="shared" si="112"/>
        <v>12</v>
      </c>
      <c r="R101" s="222">
        <f t="shared" ref="R101:R105" si="167">Isw_max/2*I101*Nps*(Q101+Vfwd1)/Q101/(I101+Nps*(Q101+Vfwd1))</f>
        <v>1.0971480582524269</v>
      </c>
      <c r="S101" s="177">
        <f t="shared" si="114"/>
        <v>20.893025544457952</v>
      </c>
      <c r="T101" s="334">
        <f t="shared" ref="T101:T105" si="168">MIN(Vout, S101)</f>
        <v>12</v>
      </c>
      <c r="U101" s="334">
        <f t="shared" si="116"/>
        <v>3.0210383100608666</v>
      </c>
      <c r="V101" s="222">
        <f t="shared" ref="V101:V105" si="169">L*U101/I101*1000000</f>
        <v>1.5664643089204493</v>
      </c>
      <c r="W101" s="222">
        <f t="shared" si="118"/>
        <v>1.7263076057490667</v>
      </c>
      <c r="X101" s="202">
        <f t="shared" si="119"/>
        <v>350</v>
      </c>
      <c r="Y101" s="452">
        <f t="shared" si="152"/>
        <v>303.69549604846117</v>
      </c>
      <c r="AA101" s="222">
        <f t="shared" si="120"/>
        <v>2.6213592233009715</v>
      </c>
      <c r="AB101" s="178">
        <f t="shared" ref="AB101:AB105" si="170">L*AA101/J101*1000000</f>
        <v>1.4979195561719838</v>
      </c>
      <c r="AC101" s="178">
        <f t="shared" ref="AC101:AC105" si="171">0.5*AB101*AA101*Nps*X101/1000</f>
        <v>0.68715241775850722</v>
      </c>
      <c r="AD101" s="178"/>
      <c r="AE101" s="178">
        <f t="shared" si="123"/>
        <v>0.46857142857142853</v>
      </c>
      <c r="AF101" s="560">
        <f>MAX(12, F101/(0.5*AE101/1000000*Isw_min*Nps)/1000)</f>
        <v>3997.6204640095193</v>
      </c>
      <c r="AG101" s="543">
        <f t="shared" si="124"/>
        <v>6.723999999999998E-2</v>
      </c>
      <c r="AI101" s="178">
        <f t="shared" si="125"/>
        <v>2.8432746132436435</v>
      </c>
      <c r="AJ101" s="178">
        <f t="shared" ref="AJ101:AJ105" si="172">MAX(IF(F101&gt;AC101,U101,AI101),Isw_min)</f>
        <v>3.0210383100608666</v>
      </c>
      <c r="AK101" s="178">
        <f t="shared" ref="AK101:AK105" si="173">IF(F101&gt;AG101, (AJ101-Isw_min)/1.08*0.8+1.2, AF101*0.2/350+1)</f>
        <v>2.8303987481932347</v>
      </c>
      <c r="AM101" s="560">
        <f t="shared" si="128"/>
        <v>768</v>
      </c>
      <c r="AN101" s="470">
        <f t="shared" si="129"/>
        <v>303.69549604846117</v>
      </c>
      <c r="AP101">
        <f t="shared" si="130"/>
        <v>768</v>
      </c>
      <c r="AQ101" s="470">
        <f t="shared" si="131"/>
        <v>303.69549604846117</v>
      </c>
      <c r="AS101" s="6">
        <f t="shared" si="153"/>
        <v>3.2927719146695162</v>
      </c>
      <c r="AT101" s="6">
        <f t="shared" si="132"/>
        <v>1.5664643089204493</v>
      </c>
      <c r="AU101" s="6">
        <f t="shared" si="154"/>
        <v>1.7263076057490669</v>
      </c>
      <c r="AV101" s="6">
        <f t="shared" si="133"/>
        <v>1.7263076057490667</v>
      </c>
      <c r="AW101" s="178">
        <f t="shared" si="155"/>
        <v>0.47572815533980578</v>
      </c>
      <c r="AX101" s="178">
        <f t="shared" si="134"/>
        <v>9.7010526315789463</v>
      </c>
      <c r="AY101" s="178">
        <f t="shared" si="135"/>
        <v>0.79192266380236309</v>
      </c>
      <c r="AZ101" s="178">
        <f t="shared" si="156"/>
        <v>12.249999999999998</v>
      </c>
      <c r="BA101" s="470">
        <f>L*Isw_max^2/(2*Vout_ripple*Vout)*1000000000*((1+M101)/2)^2</f>
        <v>22.244671714791423</v>
      </c>
      <c r="BB101" s="470">
        <f>L*F101^2/(2*Cout*Vout*Nps^2)*1000000000*((1+M101)/(1-M101))^2+F101*RCoutEsr</f>
        <v>31.304870676823398</v>
      </c>
      <c r="BC101" s="6">
        <f t="shared" si="136"/>
        <v>1.8378053159579415</v>
      </c>
      <c r="BD101" s="470">
        <f>((BY101/I101/Efficiency)*AU101/Cin+(BY101/I101/Efficiency)*RCinEsr)*1000</f>
        <v>126.20764830084526</v>
      </c>
      <c r="BE101" s="6"/>
      <c r="BF101" s="178">
        <f t="shared" si="157"/>
        <v>1.203026053881161</v>
      </c>
      <c r="BG101" s="178">
        <f t="shared" si="137"/>
        <v>1.2629142768354973</v>
      </c>
      <c r="BH101" s="178"/>
      <c r="BI101" s="543">
        <f t="shared" si="138"/>
        <v>0.15919988549485661</v>
      </c>
      <c r="BJ101" s="543">
        <f t="shared" si="139"/>
        <v>0.11812499999999998</v>
      </c>
      <c r="BK101" s="543">
        <f t="shared" si="140"/>
        <v>1.5184774802423057E-2</v>
      </c>
      <c r="BL101" s="543">
        <f t="shared" si="141"/>
        <v>4.5308046340942376E-2</v>
      </c>
      <c r="BM101">
        <f t="shared" si="142"/>
        <v>3.9150000000000001E-3</v>
      </c>
      <c r="BN101" s="470">
        <f t="shared" si="158"/>
        <v>341.73270663822206</v>
      </c>
      <c r="BO101" s="543">
        <f t="shared" si="143"/>
        <v>0.30720000000000003</v>
      </c>
      <c r="BP101" s="543"/>
      <c r="BR101" s="470">
        <f t="shared" si="159"/>
        <v>307.20000000000005</v>
      </c>
      <c r="BS101" s="543">
        <f t="shared" si="144"/>
        <v>5.7890867452675132E-2</v>
      </c>
      <c r="BT101" s="543">
        <f t="shared" si="145"/>
        <v>6.3798098825397082E-2</v>
      </c>
      <c r="BU101" s="543">
        <f t="shared" si="146"/>
        <v>0</v>
      </c>
      <c r="BV101" s="543">
        <f t="shared" si="147"/>
        <v>0.10393984962406018</v>
      </c>
      <c r="BW101" s="470">
        <f t="shared" si="160"/>
        <v>225.6288159021324</v>
      </c>
      <c r="BX101" s="178">
        <f t="shared" si="161"/>
        <v>0.87456152254035446</v>
      </c>
      <c r="BY101" s="6">
        <f t="shared" si="162"/>
        <v>9.2160000000000011</v>
      </c>
      <c r="BZ101" s="178">
        <f t="shared" si="163"/>
        <v>0.91332875573011929</v>
      </c>
      <c r="CA101" s="6">
        <f t="shared" si="164"/>
        <v>91.332875573011933</v>
      </c>
      <c r="CD101" s="577">
        <f t="shared" si="148"/>
        <v>-50</v>
      </c>
      <c r="CE101">
        <f t="shared" si="149"/>
        <v>-50</v>
      </c>
    </row>
    <row r="102" spans="5:83" x14ac:dyDescent="0.2">
      <c r="E102" s="175">
        <v>97</v>
      </c>
      <c r="F102" s="222">
        <f t="shared" ref="F102:F105" si="174">IF(PLOT_TYPE=1, E102/100*Iout_max, min_I*EXP(N102*rr/100))</f>
        <v>0.77600000000000002</v>
      </c>
      <c r="G102" s="222"/>
      <c r="H102" s="222">
        <f t="shared" si="165"/>
        <v>9.3120000000000012</v>
      </c>
      <c r="I102" s="556">
        <f t="shared" si="106"/>
        <v>13.5</v>
      </c>
      <c r="J102" s="177">
        <f t="shared" si="107"/>
        <v>12.25</v>
      </c>
      <c r="K102" s="452">
        <f t="shared" si="108"/>
        <v>25.75</v>
      </c>
      <c r="L102" s="452"/>
      <c r="M102" s="222">
        <f t="shared" si="109"/>
        <v>0.47572815533980584</v>
      </c>
      <c r="N102" s="177">
        <f t="shared" si="110"/>
        <v>12.507487864077669</v>
      </c>
      <c r="O102" s="177">
        <f t="shared" si="151"/>
        <v>9.3120000000000012</v>
      </c>
      <c r="P102" s="222">
        <f t="shared" si="166"/>
        <v>1.0422906553398057</v>
      </c>
      <c r="Q102" s="222">
        <f t="shared" si="112"/>
        <v>12</v>
      </c>
      <c r="R102" s="222">
        <f t="shared" si="167"/>
        <v>1.0971480582524269</v>
      </c>
      <c r="S102" s="177">
        <f t="shared" si="114"/>
        <v>20.542792663022357</v>
      </c>
      <c r="T102" s="334">
        <f t="shared" si="168"/>
        <v>12</v>
      </c>
      <c r="U102" s="334">
        <f t="shared" si="116"/>
        <v>3.0525074591240009</v>
      </c>
      <c r="V102" s="222">
        <f t="shared" si="169"/>
        <v>1.5827816454717041</v>
      </c>
      <c r="W102" s="222">
        <f t="shared" si="118"/>
        <v>1.7442899766422864</v>
      </c>
      <c r="X102" s="202">
        <f t="shared" si="119"/>
        <v>350</v>
      </c>
      <c r="Y102" s="452">
        <f t="shared" si="152"/>
        <v>300.56461464589967</v>
      </c>
      <c r="AA102" s="222">
        <f t="shared" si="120"/>
        <v>2.6213592233009715</v>
      </c>
      <c r="AB102" s="178">
        <f t="shared" si="170"/>
        <v>1.4979195561719838</v>
      </c>
      <c r="AC102" s="178">
        <f t="shared" si="171"/>
        <v>0.68715241775850722</v>
      </c>
      <c r="AD102" s="178"/>
      <c r="AE102" s="178">
        <f t="shared" si="123"/>
        <v>0.46857142857142853</v>
      </c>
      <c r="AF102" s="560">
        <f>MAX(12, F102/(0.5*AE102/1000000*Isw_min*Nps)/1000)</f>
        <v>4039.2623438429514</v>
      </c>
      <c r="AG102" s="543">
        <f t="shared" si="124"/>
        <v>6.723999999999998E-2</v>
      </c>
      <c r="AI102" s="178">
        <f t="shared" si="125"/>
        <v>2.8580449703655084</v>
      </c>
      <c r="AJ102" s="178">
        <f t="shared" si="172"/>
        <v>3.0525074591240009</v>
      </c>
      <c r="AK102" s="178">
        <f t="shared" si="173"/>
        <v>2.8537092289807413</v>
      </c>
      <c r="AM102" s="560">
        <f t="shared" si="128"/>
        <v>776</v>
      </c>
      <c r="AN102" s="470">
        <f t="shared" si="129"/>
        <v>300.56461464589967</v>
      </c>
      <c r="AP102">
        <f t="shared" si="130"/>
        <v>776</v>
      </c>
      <c r="AQ102" s="470">
        <f t="shared" si="131"/>
        <v>300.56461464589967</v>
      </c>
      <c r="AS102" s="6">
        <f t="shared" si="153"/>
        <v>3.3270716221139911</v>
      </c>
      <c r="AT102" s="6">
        <f t="shared" si="132"/>
        <v>1.5827816454717041</v>
      </c>
      <c r="AU102" s="6">
        <f t="shared" si="154"/>
        <v>1.744289976642287</v>
      </c>
      <c r="AV102" s="6">
        <f t="shared" si="133"/>
        <v>1.7442899766422864</v>
      </c>
      <c r="AW102" s="178">
        <f t="shared" si="155"/>
        <v>0.47572815533980572</v>
      </c>
      <c r="AX102" s="178">
        <f t="shared" si="134"/>
        <v>9.8021052631578947</v>
      </c>
      <c r="AY102" s="178">
        <f t="shared" si="135"/>
        <v>0.80017185821697123</v>
      </c>
      <c r="AZ102" s="178">
        <f t="shared" si="156"/>
        <v>12.249999999999996</v>
      </c>
      <c r="BA102" s="470">
        <f>L*Isw_max^2/(2*Vout_ripple*Vout)*1000000000*((1+M102)/2)^2</f>
        <v>22.244671714791423</v>
      </c>
      <c r="BB102" s="470">
        <f>L*F102^2/(2*Cout*Vout*Nps^2)*1000000000*((1+M102)/(1-M102))^2+F102*RCoutEsr</f>
        <v>31.936202278453919</v>
      </c>
      <c r="BC102" s="6">
        <f t="shared" si="136"/>
        <v>1.8762923413463839</v>
      </c>
      <c r="BD102" s="470">
        <f>((BY102/I102/Efficiency)*AU102/Cin+(BY102/I102/Efficiency)*RCinEsr)*1000</f>
        <v>128.82797865491602</v>
      </c>
      <c r="BE102" s="6"/>
      <c r="BF102" s="178">
        <f t="shared" si="157"/>
        <v>1.2155575752757566</v>
      </c>
      <c r="BG102" s="178">
        <f t="shared" si="137"/>
        <v>1.2760696338858672</v>
      </c>
      <c r="BH102" s="178"/>
      <c r="BI102" s="543">
        <f t="shared" si="138"/>
        <v>0.16253382406913044</v>
      </c>
      <c r="BJ102" s="543">
        <f t="shared" si="139"/>
        <v>0.11812499999999998</v>
      </c>
      <c r="BK102" s="543">
        <f t="shared" si="140"/>
        <v>1.5028230732294982E-2</v>
      </c>
      <c r="BL102" s="543">
        <f t="shared" si="141"/>
        <v>4.4840953079695538E-2</v>
      </c>
      <c r="BM102">
        <f t="shared" si="142"/>
        <v>3.9150000000000001E-3</v>
      </c>
      <c r="BN102" s="470">
        <f t="shared" si="158"/>
        <v>344.44300788112099</v>
      </c>
      <c r="BO102" s="543">
        <f t="shared" si="143"/>
        <v>0.31040000000000001</v>
      </c>
      <c r="BP102" s="543"/>
      <c r="BR102" s="470">
        <f t="shared" si="159"/>
        <v>310.40000000000003</v>
      </c>
      <c r="BS102" s="543">
        <f t="shared" si="144"/>
        <v>5.9103208752411068E-2</v>
      </c>
      <c r="BT102" s="543">
        <f t="shared" si="145"/>
        <v>6.5134148421024454E-2</v>
      </c>
      <c r="BU102" s="543">
        <f t="shared" si="146"/>
        <v>0</v>
      </c>
      <c r="BV102" s="543">
        <f t="shared" si="147"/>
        <v>0.10502255639097745</v>
      </c>
      <c r="BW102" s="470">
        <f t="shared" si="160"/>
        <v>229.25991356441298</v>
      </c>
      <c r="BX102" s="178">
        <f t="shared" si="161"/>
        <v>0.88410292144553393</v>
      </c>
      <c r="BY102" s="6">
        <f t="shared" si="162"/>
        <v>9.3120000000000012</v>
      </c>
      <c r="BZ102" s="178">
        <f t="shared" si="163"/>
        <v>0.91329011405073268</v>
      </c>
      <c r="CA102" s="6">
        <f t="shared" si="164"/>
        <v>91.329011405073274</v>
      </c>
      <c r="CD102" s="577">
        <f t="shared" si="148"/>
        <v>-50</v>
      </c>
      <c r="CE102">
        <f t="shared" si="149"/>
        <v>-50</v>
      </c>
    </row>
    <row r="103" spans="5:83" x14ac:dyDescent="0.2">
      <c r="E103" s="175">
        <v>98</v>
      </c>
      <c r="F103" s="222">
        <f t="shared" si="174"/>
        <v>0.78400000000000003</v>
      </c>
      <c r="G103" s="222"/>
      <c r="H103" s="222">
        <f t="shared" si="165"/>
        <v>9.4080000000000013</v>
      </c>
      <c r="I103" s="556">
        <f t="shared" si="106"/>
        <v>13.5</v>
      </c>
      <c r="J103" s="177">
        <f t="shared" si="107"/>
        <v>12.25</v>
      </c>
      <c r="K103" s="452">
        <f t="shared" si="108"/>
        <v>25.75</v>
      </c>
      <c r="L103" s="452"/>
      <c r="M103" s="222">
        <f t="shared" si="109"/>
        <v>0.47572815533980584</v>
      </c>
      <c r="N103" s="177">
        <f t="shared" si="110"/>
        <v>12.507487864077669</v>
      </c>
      <c r="O103" s="177">
        <f t="shared" si="151"/>
        <v>9.4080000000000013</v>
      </c>
      <c r="P103" s="222">
        <f t="shared" si="166"/>
        <v>1.0422906553398057</v>
      </c>
      <c r="Q103" s="222">
        <f t="shared" si="112"/>
        <v>12</v>
      </c>
      <c r="R103" s="222">
        <f t="shared" si="167"/>
        <v>1.0971480582524269</v>
      </c>
      <c r="S103" s="177">
        <f t="shared" si="114"/>
        <v>20.199795974432234</v>
      </c>
      <c r="T103" s="334">
        <f t="shared" si="168"/>
        <v>12</v>
      </c>
      <c r="U103" s="334">
        <f t="shared" si="116"/>
        <v>3.0839766081871347</v>
      </c>
      <c r="V103" s="222">
        <f t="shared" si="169"/>
        <v>1.5990989820229589</v>
      </c>
      <c r="W103" s="222">
        <f t="shared" si="118"/>
        <v>1.7622723475355055</v>
      </c>
      <c r="X103" s="202">
        <f t="shared" si="119"/>
        <v>350</v>
      </c>
      <c r="Y103" s="452">
        <f t="shared" si="152"/>
        <v>297.49762878216609</v>
      </c>
      <c r="AA103" s="222">
        <f t="shared" si="120"/>
        <v>2.6213592233009715</v>
      </c>
      <c r="AB103" s="178">
        <f t="shared" si="170"/>
        <v>1.4979195561719838</v>
      </c>
      <c r="AC103" s="178">
        <f t="shared" si="171"/>
        <v>0.68715241775850722</v>
      </c>
      <c r="AD103" s="178"/>
      <c r="AE103" s="178">
        <f t="shared" si="123"/>
        <v>0.46857142857142853</v>
      </c>
      <c r="AF103" s="560">
        <f>MAX(12, F103/(0.5*AE103/1000000*Isw_min*Nps)/1000)</f>
        <v>4080.9042236763839</v>
      </c>
      <c r="AG103" s="543">
        <f t="shared" si="124"/>
        <v>6.723999999999998E-2</v>
      </c>
      <c r="AI103" s="178">
        <f t="shared" si="125"/>
        <v>2.8727393858384316</v>
      </c>
      <c r="AJ103" s="178">
        <f t="shared" si="172"/>
        <v>3.0839766081871347</v>
      </c>
      <c r="AK103" s="178">
        <f t="shared" si="173"/>
        <v>2.8770197097682484</v>
      </c>
      <c r="AM103" s="560">
        <f t="shared" si="128"/>
        <v>784</v>
      </c>
      <c r="AN103" s="470">
        <f t="shared" si="129"/>
        <v>297.49762878216609</v>
      </c>
      <c r="AP103">
        <f t="shared" si="130"/>
        <v>784</v>
      </c>
      <c r="AQ103" s="470">
        <f t="shared" si="131"/>
        <v>297.49762878216609</v>
      </c>
      <c r="AS103" s="6">
        <f t="shared" si="153"/>
        <v>3.3613713295584642</v>
      </c>
      <c r="AT103" s="6">
        <f t="shared" si="132"/>
        <v>1.5990989820229589</v>
      </c>
      <c r="AU103" s="6">
        <f t="shared" si="154"/>
        <v>1.7622723475355053</v>
      </c>
      <c r="AV103" s="6">
        <f t="shared" si="133"/>
        <v>1.7622723475355055</v>
      </c>
      <c r="AW103" s="178">
        <f t="shared" si="155"/>
        <v>0.47572815533980589</v>
      </c>
      <c r="AX103" s="178">
        <f t="shared" si="134"/>
        <v>9.903157894736843</v>
      </c>
      <c r="AY103" s="178">
        <f t="shared" si="135"/>
        <v>0.80842105263157893</v>
      </c>
      <c r="AZ103" s="178">
        <f t="shared" si="156"/>
        <v>12.250000000000002</v>
      </c>
      <c r="BA103" s="470">
        <f>L*Isw_max^2/(2*Vout_ripple*Vout)*1000000000*((1+M103)/2)^2</f>
        <v>22.244671714791423</v>
      </c>
      <c r="BB103" s="470">
        <f>L*F103^2/(2*Cout*Vout*Nps^2)*1000000000*((1+M103)/(1-M103))^2+F103*RCoutEsr</f>
        <v>32.5738274718112</v>
      </c>
      <c r="BC103" s="6">
        <f t="shared" si="136"/>
        <v>1.9151781960134615</v>
      </c>
      <c r="BD103" s="470">
        <f>((BY103/I103/Efficiency)*AU103/Cin+(BY103/I103/Efficiency)*RCinEsr)*1000</f>
        <v>131.47522998529462</v>
      </c>
      <c r="BE103" s="6"/>
      <c r="BF103" s="178">
        <f t="shared" si="157"/>
        <v>1.2280890966703522</v>
      </c>
      <c r="BG103" s="178">
        <f t="shared" si="137"/>
        <v>1.2892249909362368</v>
      </c>
      <c r="BH103" s="178"/>
      <c r="BI103" s="543">
        <f t="shared" si="138"/>
        <v>0.16590231122966617</v>
      </c>
      <c r="BJ103" s="543">
        <f t="shared" si="139"/>
        <v>0.11812500000000001</v>
      </c>
      <c r="BK103" s="543">
        <f t="shared" si="140"/>
        <v>1.4874881439108305E-2</v>
      </c>
      <c r="BL103" s="543">
        <f t="shared" si="141"/>
        <v>4.4383392333984369E-2</v>
      </c>
      <c r="BM103">
        <f t="shared" si="142"/>
        <v>3.9150000000000001E-3</v>
      </c>
      <c r="BN103" s="470">
        <f t="shared" si="158"/>
        <v>347.20058500275883</v>
      </c>
      <c r="BO103" s="543">
        <f t="shared" si="143"/>
        <v>0.31360000000000005</v>
      </c>
      <c r="BP103" s="543"/>
      <c r="BR103" s="470">
        <f t="shared" si="159"/>
        <v>313.60000000000002</v>
      </c>
      <c r="BS103" s="543">
        <f t="shared" si="144"/>
        <v>6.0328113174424061E-2</v>
      </c>
      <c r="BT103" s="543">
        <f t="shared" si="145"/>
        <v>6.6484043090181591E-2</v>
      </c>
      <c r="BU103" s="543">
        <f t="shared" si="146"/>
        <v>0</v>
      </c>
      <c r="BV103" s="543">
        <f t="shared" si="147"/>
        <v>0.10610526315789479</v>
      </c>
      <c r="BW103" s="470">
        <f t="shared" si="160"/>
        <v>232.91741942250044</v>
      </c>
      <c r="BX103" s="178">
        <f t="shared" si="161"/>
        <v>0.8937180044252595</v>
      </c>
      <c r="BY103" s="6">
        <f t="shared" si="162"/>
        <v>9.4080000000000013</v>
      </c>
      <c r="BZ103" s="178">
        <f t="shared" si="163"/>
        <v>0.91324573201854786</v>
      </c>
      <c r="CA103" s="6">
        <f t="shared" si="164"/>
        <v>91.32457320185479</v>
      </c>
      <c r="CD103" s="577">
        <f t="shared" si="148"/>
        <v>-50</v>
      </c>
      <c r="CE103">
        <f t="shared" si="149"/>
        <v>-50</v>
      </c>
    </row>
    <row r="104" spans="5:83" x14ac:dyDescent="0.2">
      <c r="E104" s="175">
        <v>99</v>
      </c>
      <c r="F104" s="222">
        <f t="shared" si="174"/>
        <v>0.79200000000000004</v>
      </c>
      <c r="G104" s="222"/>
      <c r="H104" s="222">
        <f t="shared" si="165"/>
        <v>9.5040000000000013</v>
      </c>
      <c r="I104" s="556">
        <f t="shared" si="106"/>
        <v>13.5</v>
      </c>
      <c r="J104" s="177">
        <f t="shared" si="107"/>
        <v>12.25</v>
      </c>
      <c r="K104" s="452">
        <f t="shared" si="108"/>
        <v>25.75</v>
      </c>
      <c r="L104" s="452"/>
      <c r="M104" s="222">
        <f t="shared" si="109"/>
        <v>0.47572815533980584</v>
      </c>
      <c r="N104" s="177">
        <f t="shared" si="110"/>
        <v>12.507487864077669</v>
      </c>
      <c r="O104" s="177">
        <f t="shared" si="151"/>
        <v>9.5040000000000013</v>
      </c>
      <c r="P104" s="222">
        <f t="shared" si="166"/>
        <v>1.0422906553398057</v>
      </c>
      <c r="Q104" s="222">
        <f t="shared" si="112"/>
        <v>12</v>
      </c>
      <c r="R104" s="222">
        <f t="shared" si="167"/>
        <v>1.0971480582524269</v>
      </c>
      <c r="S104" s="177">
        <f t="shared" si="114"/>
        <v>19.863817823638446</v>
      </c>
      <c r="T104" s="334">
        <f t="shared" si="168"/>
        <v>12</v>
      </c>
      <c r="U104" s="334">
        <f t="shared" si="116"/>
        <v>3.115445757250269</v>
      </c>
      <c r="V104" s="222">
        <f t="shared" si="169"/>
        <v>1.6154163185742134</v>
      </c>
      <c r="W104" s="222">
        <f t="shared" si="118"/>
        <v>1.7802547184287252</v>
      </c>
      <c r="X104" s="202">
        <f t="shared" si="119"/>
        <v>350</v>
      </c>
      <c r="Y104" s="452">
        <f t="shared" si="152"/>
        <v>294.49260222881082</v>
      </c>
      <c r="AA104" s="222">
        <f t="shared" si="120"/>
        <v>2.6213592233009715</v>
      </c>
      <c r="AB104" s="178">
        <f t="shared" si="170"/>
        <v>1.4979195561719838</v>
      </c>
      <c r="AC104" s="178">
        <f t="shared" si="171"/>
        <v>0.68715241775850722</v>
      </c>
      <c r="AD104" s="178"/>
      <c r="AE104" s="178">
        <f t="shared" si="123"/>
        <v>0.46857142857142853</v>
      </c>
      <c r="AF104" s="560">
        <f>MAX(12, F104/(0.5*AE104/1000000*Isw_min*Nps)/1000)</f>
        <v>4122.5461035098169</v>
      </c>
      <c r="AG104" s="543">
        <f t="shared" si="124"/>
        <v>6.723999999999998E-2</v>
      </c>
      <c r="AI104" s="178">
        <f t="shared" si="125"/>
        <v>2.8873590191147276</v>
      </c>
      <c r="AJ104" s="178">
        <f t="shared" si="172"/>
        <v>3.115445757250269</v>
      </c>
      <c r="AK104" s="178">
        <f t="shared" si="173"/>
        <v>2.900330190555755</v>
      </c>
      <c r="AM104" s="560">
        <f t="shared" si="128"/>
        <v>792</v>
      </c>
      <c r="AN104" s="470">
        <f t="shared" si="129"/>
        <v>294.49260222881082</v>
      </c>
      <c r="AP104">
        <f t="shared" ref="AP104:AP105" si="175">IF(H104&gt;N104, "",AM104)</f>
        <v>792</v>
      </c>
      <c r="AQ104" s="470">
        <f t="shared" ref="AQ104:AQ105" si="176">IF(H104&gt;N104, "",AN104)</f>
        <v>294.49260222881082</v>
      </c>
      <c r="AS104" s="6">
        <f t="shared" si="153"/>
        <v>3.3956710370029386</v>
      </c>
      <c r="AT104" s="6">
        <f t="shared" si="132"/>
        <v>1.6154163185742134</v>
      </c>
      <c r="AU104" s="6">
        <f t="shared" si="154"/>
        <v>1.7802547184287252</v>
      </c>
      <c r="AV104" s="6">
        <f t="shared" si="133"/>
        <v>1.7802547184287252</v>
      </c>
      <c r="AW104" s="178">
        <f t="shared" si="155"/>
        <v>0.47572815533980578</v>
      </c>
      <c r="AX104" s="178">
        <f t="shared" si="134"/>
        <v>10.004210526315791</v>
      </c>
      <c r="AY104" s="178">
        <f t="shared" si="135"/>
        <v>0.81667024704618696</v>
      </c>
      <c r="AZ104" s="178">
        <f t="shared" si="156"/>
        <v>12.250000000000002</v>
      </c>
      <c r="BA104" s="470">
        <f>L*Isw_max^2/(2*Vout_ripple*Vout)*1000000000*((1+M104)/2)^2</f>
        <v>22.244671714791423</v>
      </c>
      <c r="BB104" s="470">
        <f>L*F104^2/(2*Cout*Vout*Nps^2)*1000000000*((1+M104)/(1-M104))^2+F104*RCoutEsr</f>
        <v>33.217746256895197</v>
      </c>
      <c r="BC104" s="6">
        <f t="shared" si="136"/>
        <v>1.9544628799591777</v>
      </c>
      <c r="BD104" s="470">
        <f>((BY104/I104/Efficiency)*AU104/Cin+(BY104/I104/Efficiency)*RCinEsr)*1000</f>
        <v>134.14940229198132</v>
      </c>
      <c r="BE104" s="6"/>
      <c r="BF104" s="178">
        <f t="shared" si="157"/>
        <v>1.2406206180649475</v>
      </c>
      <c r="BG104" s="178">
        <f t="shared" si="137"/>
        <v>1.3023803479866067</v>
      </c>
      <c r="BH104" s="178"/>
      <c r="BI104" s="543">
        <f t="shared" si="138"/>
        <v>0.16930534697646377</v>
      </c>
      <c r="BJ104" s="543">
        <f t="shared" si="139"/>
        <v>0.11812500000000001</v>
      </c>
      <c r="BK104" s="543">
        <f t="shared" si="140"/>
        <v>1.472463011144054E-2</v>
      </c>
      <c r="BL104" s="543">
        <f t="shared" si="141"/>
        <v>4.3935075239701693E-2</v>
      </c>
      <c r="BM104">
        <f t="shared" si="142"/>
        <v>3.9150000000000001E-3</v>
      </c>
      <c r="BN104" s="470">
        <f t="shared" si="158"/>
        <v>350.00505232760599</v>
      </c>
      <c r="BO104" s="543">
        <f t="shared" si="143"/>
        <v>0.31680000000000003</v>
      </c>
      <c r="BP104" s="543"/>
      <c r="BR104" s="470">
        <f t="shared" si="159"/>
        <v>316.8</v>
      </c>
      <c r="BS104" s="543">
        <f t="shared" si="144"/>
        <v>6.1565580718714097E-2</v>
      </c>
      <c r="BT104" s="543">
        <f t="shared" si="145"/>
        <v>6.7847782832868589E-2</v>
      </c>
      <c r="BU104" s="543">
        <f t="shared" si="146"/>
        <v>0</v>
      </c>
      <c r="BV104" s="543">
        <f t="shared" si="147"/>
        <v>0.10718796992481204</v>
      </c>
      <c r="BW104" s="470">
        <f t="shared" si="160"/>
        <v>236.60133347639473</v>
      </c>
      <c r="BX104" s="178">
        <f t="shared" si="161"/>
        <v>0.90340638580400079</v>
      </c>
      <c r="BY104" s="6">
        <f t="shared" si="162"/>
        <v>9.5040000000000013</v>
      </c>
      <c r="BZ104" s="178">
        <f t="shared" si="163"/>
        <v>0.91319581917774706</v>
      </c>
      <c r="CA104" s="6">
        <f t="shared" si="164"/>
        <v>91.319581917774713</v>
      </c>
      <c r="CD104" s="577">
        <f t="shared" si="148"/>
        <v>-50</v>
      </c>
      <c r="CE104">
        <f t="shared" si="149"/>
        <v>-50</v>
      </c>
    </row>
    <row r="105" spans="5:83" x14ac:dyDescent="0.2">
      <c r="E105" s="175">
        <v>100</v>
      </c>
      <c r="F105" s="222">
        <f t="shared" si="174"/>
        <v>0.8</v>
      </c>
      <c r="G105" s="222"/>
      <c r="H105" s="222">
        <f t="shared" si="165"/>
        <v>9.6000000000000014</v>
      </c>
      <c r="I105" s="556">
        <f t="shared" si="106"/>
        <v>13.5</v>
      </c>
      <c r="J105" s="177">
        <f t="shared" si="107"/>
        <v>12.25</v>
      </c>
      <c r="K105" s="452">
        <f t="shared" si="108"/>
        <v>25.75</v>
      </c>
      <c r="L105" s="452"/>
      <c r="M105" s="222">
        <f t="shared" si="109"/>
        <v>0.47572815533980584</v>
      </c>
      <c r="N105" s="177">
        <f t="shared" si="110"/>
        <v>12.507487864077669</v>
      </c>
      <c r="O105" s="177">
        <f t="shared" si="151"/>
        <v>9.6000000000000014</v>
      </c>
      <c r="P105" s="222">
        <f t="shared" si="166"/>
        <v>1.0422906553398057</v>
      </c>
      <c r="Q105" s="222">
        <f t="shared" si="112"/>
        <v>12</v>
      </c>
      <c r="R105" s="222">
        <f t="shared" si="167"/>
        <v>1.0971480582524269</v>
      </c>
      <c r="S105" s="177">
        <f t="shared" si="114"/>
        <v>19.534649299338053</v>
      </c>
      <c r="T105" s="334">
        <f t="shared" si="168"/>
        <v>12</v>
      </c>
      <c r="U105" s="334">
        <f t="shared" si="116"/>
        <v>3.1469149063134032</v>
      </c>
      <c r="V105" s="222">
        <f t="shared" si="169"/>
        <v>1.6317336551254682</v>
      </c>
      <c r="W105" s="222">
        <f t="shared" si="118"/>
        <v>1.7982370893219446</v>
      </c>
      <c r="X105" s="202">
        <f t="shared" si="119"/>
        <v>350</v>
      </c>
      <c r="Y105" s="452">
        <f t="shared" si="152"/>
        <v>291.54767620652274</v>
      </c>
      <c r="AA105" s="222">
        <f t="shared" si="120"/>
        <v>2.6213592233009715</v>
      </c>
      <c r="AB105" s="178">
        <f t="shared" si="170"/>
        <v>1.4979195561719838</v>
      </c>
      <c r="AC105" s="178">
        <f t="shared" si="171"/>
        <v>0.68715241775850722</v>
      </c>
      <c r="AD105" s="178"/>
      <c r="AE105" s="178">
        <f t="shared" si="123"/>
        <v>0.46857142857142853</v>
      </c>
      <c r="AF105" s="560">
        <f>MAX(12, F105/(0.5*AE105/1000000*Isw_min*Nps)/1000)</f>
        <v>4164.1879833432495</v>
      </c>
      <c r="AG105" s="543">
        <f t="shared" si="124"/>
        <v>6.723999999999998E-2</v>
      </c>
      <c r="AI105" s="178">
        <f t="shared" si="125"/>
        <v>2.9019050004400468</v>
      </c>
      <c r="AJ105" s="178">
        <f t="shared" si="172"/>
        <v>3.1469149063134032</v>
      </c>
      <c r="AK105" s="178">
        <f t="shared" si="173"/>
        <v>2.9236406713432617</v>
      </c>
      <c r="AM105" s="560">
        <f t="shared" si="128"/>
        <v>800</v>
      </c>
      <c r="AN105" s="470">
        <f t="shared" si="129"/>
        <v>291.54767620652274</v>
      </c>
      <c r="AP105">
        <f t="shared" si="175"/>
        <v>800</v>
      </c>
      <c r="AQ105" s="470">
        <f t="shared" si="176"/>
        <v>291.54767620652274</v>
      </c>
      <c r="AS105" s="6">
        <f t="shared" si="153"/>
        <v>3.4299707444474126</v>
      </c>
      <c r="AT105" s="6">
        <f t="shared" si="132"/>
        <v>1.6317336551254682</v>
      </c>
      <c r="AU105" s="6">
        <f t="shared" si="154"/>
        <v>1.7982370893219444</v>
      </c>
      <c r="AV105" s="6">
        <f t="shared" si="133"/>
        <v>1.7982370893219446</v>
      </c>
      <c r="AW105" s="178">
        <f t="shared" si="155"/>
        <v>0.47572815533980584</v>
      </c>
      <c r="AX105" s="178">
        <f t="shared" si="134"/>
        <v>10.10526315789474</v>
      </c>
      <c r="AY105" s="178">
        <f t="shared" si="135"/>
        <v>0.82491944146079499</v>
      </c>
      <c r="AZ105" s="178">
        <f t="shared" si="156"/>
        <v>12.250000000000002</v>
      </c>
      <c r="BA105" s="470">
        <f>L*Isw_max^2/(2*Vout_ripple*Vout)*1000000000*((1+M105)/2)^2</f>
        <v>22.244671714791423</v>
      </c>
      <c r="BB105" s="470">
        <f>L*F105^2/(2*Cout*Vout*Nps^2)*1000000000*((1+M105)/(1-M105))^2+F105*RCoutEsr</f>
        <v>33.867958633705953</v>
      </c>
      <c r="BC105" s="6">
        <f t="shared" si="136"/>
        <v>1.9941463931835295</v>
      </c>
      <c r="BD105" s="470">
        <f>((BY105/I105/Efficiency)*AU105/Cin+(BY105/I105/Efficiency)*RCinEsr)*1000</f>
        <v>136.85049557497601</v>
      </c>
      <c r="BE105" s="6"/>
      <c r="BF105" s="178">
        <f t="shared" si="157"/>
        <v>1.2531521394595431</v>
      </c>
      <c r="BG105" s="178">
        <f t="shared" si="137"/>
        <v>1.3155357050369765</v>
      </c>
      <c r="BH105" s="178"/>
      <c r="BI105" s="543">
        <f t="shared" si="138"/>
        <v>0.17274293130952331</v>
      </c>
      <c r="BJ105" s="543">
        <f t="shared" si="139"/>
        <v>0.11812500000000002</v>
      </c>
      <c r="BK105" s="543">
        <f t="shared" si="140"/>
        <v>1.4577383810326137E-2</v>
      </c>
      <c r="BL105" s="543">
        <f t="shared" si="141"/>
        <v>4.3495724487304675E-2</v>
      </c>
      <c r="BM105">
        <f t="shared" si="142"/>
        <v>3.9150000000000001E-3</v>
      </c>
      <c r="BN105" s="470">
        <f t="shared" si="158"/>
        <v>352.85603960715412</v>
      </c>
      <c r="BO105" s="543">
        <f t="shared" si="143"/>
        <v>0.32000000000000006</v>
      </c>
      <c r="BP105" s="543"/>
      <c r="BR105" s="470">
        <f t="shared" si="159"/>
        <v>320.00000000000006</v>
      </c>
      <c r="BS105" s="543">
        <f t="shared" si="144"/>
        <v>6.2815611385281203E-2</v>
      </c>
      <c r="BT105" s="543">
        <f t="shared" si="145"/>
        <v>6.9225367649085393E-2</v>
      </c>
      <c r="BU105" s="543">
        <f t="shared" si="146"/>
        <v>0</v>
      </c>
      <c r="BV105" s="543">
        <f t="shared" si="147"/>
        <v>0.10827067669172938</v>
      </c>
      <c r="BW105" s="470">
        <f t="shared" si="160"/>
        <v>240.31165572609598</v>
      </c>
      <c r="BX105" s="178">
        <f t="shared" si="161"/>
        <v>0.91316769533325015</v>
      </c>
      <c r="BY105" s="6">
        <f t="shared" si="162"/>
        <v>9.6000000000000014</v>
      </c>
      <c r="BZ105" s="178">
        <f t="shared" si="163"/>
        <v>0.91314057553380401</v>
      </c>
      <c r="CA105" s="6">
        <f t="shared" si="164"/>
        <v>91.314057553380394</v>
      </c>
      <c r="CD105" s="577">
        <f t="shared" si="148"/>
        <v>-50</v>
      </c>
      <c r="CE105">
        <f t="shared" si="149"/>
        <v>-50</v>
      </c>
    </row>
    <row r="106" spans="5:83" x14ac:dyDescent="0.2">
      <c r="E106" s="175"/>
      <c r="F106" s="222"/>
      <c r="G106" s="222"/>
      <c r="H106" s="222"/>
      <c r="I106" s="556"/>
      <c r="J106" s="452"/>
      <c r="K106" s="452"/>
      <c r="L106" s="452"/>
      <c r="M106" s="222"/>
      <c r="N106" s="177"/>
      <c r="O106" s="177"/>
      <c r="P106" s="222"/>
      <c r="Q106" s="222"/>
      <c r="R106" s="222"/>
      <c r="S106" s="177"/>
      <c r="T106" s="177"/>
      <c r="U106" s="222"/>
      <c r="V106" s="222"/>
      <c r="W106" s="222"/>
      <c r="X106" s="202"/>
      <c r="Y106" s="452"/>
      <c r="AA106" s="222"/>
      <c r="AB106" s="178"/>
      <c r="AC106" s="178"/>
      <c r="AD106" s="178"/>
      <c r="AE106" s="178"/>
      <c r="AF106" s="560"/>
      <c r="AI106" s="178"/>
      <c r="AJ106" s="178"/>
      <c r="AK106" s="178"/>
      <c r="AM106" s="560"/>
      <c r="AN106" s="470"/>
      <c r="AQ106" s="4"/>
      <c r="AS106" s="6"/>
      <c r="AT106" s="6"/>
      <c r="AU106" s="6"/>
      <c r="AV106" s="6"/>
      <c r="AW106" s="178"/>
      <c r="AX106" s="178"/>
      <c r="AY106" s="178"/>
      <c r="AZ106" s="178"/>
      <c r="BA106" s="470"/>
      <c r="BB106" s="470"/>
      <c r="BC106" s="6"/>
      <c r="BD106" s="470"/>
      <c r="BE106" s="6"/>
      <c r="BF106" s="178"/>
      <c r="BG106" s="178"/>
      <c r="BH106" s="178"/>
      <c r="BI106" s="543"/>
      <c r="BJ106" s="543"/>
      <c r="BK106" s="543"/>
      <c r="BL106" s="543"/>
      <c r="BN106" s="470"/>
      <c r="BO106" s="543"/>
      <c r="BP106" s="543"/>
      <c r="BR106" s="470"/>
      <c r="BS106" s="543"/>
      <c r="BT106" s="543"/>
      <c r="BU106" s="543"/>
      <c r="BV106" s="543"/>
      <c r="BW106" s="470"/>
      <c r="BX106" s="178"/>
      <c r="BY106" s="6"/>
      <c r="BZ106" s="178"/>
      <c r="CA106" s="6"/>
      <c r="CD106" s="577"/>
    </row>
    <row r="107" spans="5:83" x14ac:dyDescent="0.2">
      <c r="H107" s="222"/>
      <c r="I107" s="556"/>
      <c r="J107" s="452"/>
      <c r="K107" s="452"/>
      <c r="L107" s="452"/>
      <c r="M107" s="222"/>
      <c r="N107" s="177"/>
      <c r="O107" s="177"/>
      <c r="P107" s="222"/>
      <c r="Q107" s="222"/>
      <c r="R107" s="222"/>
      <c r="S107" s="177"/>
      <c r="T107" s="177"/>
      <c r="U107" s="222"/>
      <c r="V107" s="222"/>
      <c r="W107" s="222"/>
      <c r="X107" s="202"/>
      <c r="Y107" s="452"/>
      <c r="AA107" s="222"/>
      <c r="AB107" s="178"/>
      <c r="AC107" s="178"/>
      <c r="AD107" s="178"/>
      <c r="AE107" s="178"/>
      <c r="AF107" s="560"/>
      <c r="AI107" s="178"/>
      <c r="AJ107" s="178"/>
      <c r="AK107" s="178"/>
      <c r="AM107" s="560"/>
      <c r="AN107" s="470"/>
      <c r="AS107" s="6"/>
      <c r="AT107" s="6"/>
      <c r="AU107" s="6"/>
      <c r="AV107" s="6"/>
      <c r="AW107" s="178"/>
      <c r="AX107" s="178"/>
      <c r="AY107" s="178"/>
      <c r="AZ107" s="178"/>
      <c r="BA107" s="470"/>
      <c r="BB107" s="470"/>
      <c r="BC107" s="6"/>
      <c r="BD107" s="470"/>
      <c r="BF107" s="178"/>
      <c r="BG107" s="178"/>
      <c r="BI107" s="543"/>
      <c r="BJ107" s="543"/>
      <c r="BK107" s="543"/>
      <c r="BL107" s="543"/>
      <c r="BN107" s="470"/>
      <c r="BO107" s="543"/>
      <c r="BR107" s="470"/>
      <c r="BS107" s="543"/>
      <c r="BT107" s="543"/>
      <c r="BU107" s="543"/>
      <c r="BV107" s="543"/>
      <c r="BW107" s="470"/>
      <c r="BX107" s="178"/>
      <c r="BY107" s="6"/>
      <c r="BZ107" s="178"/>
      <c r="CA107" s="6"/>
      <c r="CD107" s="577"/>
    </row>
    <row r="108" spans="5:83" x14ac:dyDescent="0.2">
      <c r="E108" s="454" t="s">
        <v>445</v>
      </c>
      <c r="H108" s="222"/>
      <c r="I108" s="556"/>
      <c r="J108" s="452"/>
      <c r="K108" s="452"/>
      <c r="L108" s="452"/>
      <c r="M108" s="222"/>
      <c r="N108" s="177"/>
      <c r="O108" s="177"/>
      <c r="P108" s="222"/>
      <c r="Q108" s="222"/>
      <c r="R108" s="222"/>
      <c r="S108" s="177"/>
      <c r="T108" s="177"/>
      <c r="U108" s="222"/>
      <c r="V108" s="222"/>
      <c r="W108" s="222"/>
      <c r="X108" s="202"/>
      <c r="Y108" s="452"/>
      <c r="AA108" s="222"/>
      <c r="AB108" s="178"/>
      <c r="AC108" s="178"/>
      <c r="AD108" s="178"/>
      <c r="AE108" s="178"/>
      <c r="AF108" s="560"/>
      <c r="AI108" s="178"/>
      <c r="AJ108" s="178"/>
      <c r="AK108" s="178"/>
      <c r="AM108" s="560"/>
      <c r="AN108" s="470"/>
      <c r="AS108" s="6"/>
      <c r="AT108" s="6"/>
      <c r="AU108" s="6"/>
      <c r="AV108" s="6"/>
      <c r="AW108" s="178"/>
      <c r="AX108" s="178"/>
      <c r="AY108" s="178"/>
      <c r="AZ108" s="178"/>
      <c r="BA108" s="470"/>
      <c r="BB108" s="470"/>
      <c r="BC108" s="6"/>
      <c r="BD108" s="470"/>
      <c r="BF108" s="178"/>
      <c r="BG108" s="178"/>
      <c r="BI108" s="543"/>
      <c r="BJ108" s="543"/>
      <c r="BK108" s="543"/>
      <c r="BL108" s="543"/>
      <c r="BN108" s="470"/>
      <c r="BO108" s="543"/>
      <c r="BR108" s="470"/>
      <c r="BS108" s="543"/>
      <c r="BT108" s="543"/>
      <c r="BU108" s="543"/>
      <c r="BV108" s="543"/>
      <c r="BW108" s="470"/>
      <c r="BX108" s="178"/>
      <c r="BY108" s="6"/>
      <c r="BZ108" s="178"/>
      <c r="CA108" s="6"/>
      <c r="CD108" s="577"/>
    </row>
    <row r="109" spans="5:83" ht="45" customHeight="1" thickBot="1" x14ac:dyDescent="0.25">
      <c r="E109" s="246" t="s">
        <v>25</v>
      </c>
      <c r="F109" s="453" t="s">
        <v>195</v>
      </c>
      <c r="G109" s="265"/>
      <c r="H109" s="542" t="s">
        <v>224</v>
      </c>
      <c r="I109" s="247" t="s">
        <v>423</v>
      </c>
      <c r="J109" s="248" t="s">
        <v>429</v>
      </c>
      <c r="K109" s="542" t="s">
        <v>424</v>
      </c>
      <c r="L109" s="542"/>
      <c r="M109" s="249" t="s">
        <v>48</v>
      </c>
      <c r="N109" s="542" t="s">
        <v>413</v>
      </c>
      <c r="O109" s="542" t="s">
        <v>677</v>
      </c>
      <c r="P109" s="542" t="s">
        <v>414</v>
      </c>
      <c r="Q109" s="542" t="s">
        <v>444</v>
      </c>
      <c r="R109" s="542" t="s">
        <v>675</v>
      </c>
      <c r="S109" s="542" t="s">
        <v>678</v>
      </c>
      <c r="T109" s="542" t="s">
        <v>676</v>
      </c>
      <c r="U109" s="542" t="s">
        <v>425</v>
      </c>
      <c r="V109" s="542" t="s">
        <v>477</v>
      </c>
      <c r="W109" s="542" t="s">
        <v>476</v>
      </c>
      <c r="X109" s="561" t="s">
        <v>431</v>
      </c>
      <c r="Y109" s="557" t="s">
        <v>436</v>
      </c>
      <c r="AA109" s="250" t="s">
        <v>428</v>
      </c>
      <c r="AB109" s="250" t="s">
        <v>475</v>
      </c>
      <c r="AC109" s="250" t="s">
        <v>434</v>
      </c>
      <c r="AD109" s="559"/>
      <c r="AE109" s="250" t="s">
        <v>718</v>
      </c>
      <c r="AF109" s="250" t="s">
        <v>719</v>
      </c>
      <c r="AG109" s="250" t="s">
        <v>438</v>
      </c>
      <c r="AH109" s="559"/>
      <c r="AI109" s="250" t="s">
        <v>440</v>
      </c>
      <c r="AJ109" s="562" t="s">
        <v>441</v>
      </c>
      <c r="AK109" s="562" t="s">
        <v>442</v>
      </c>
      <c r="AM109" s="558" t="s">
        <v>276</v>
      </c>
      <c r="AN109" s="558" t="s">
        <v>443</v>
      </c>
      <c r="AP109" s="250" t="s">
        <v>276</v>
      </c>
      <c r="AQ109" s="250" t="s">
        <v>443</v>
      </c>
      <c r="AR109" s="563"/>
      <c r="AS109" s="250" t="s">
        <v>478</v>
      </c>
      <c r="AT109" s="250" t="s">
        <v>472</v>
      </c>
      <c r="AU109" s="250" t="s">
        <v>473</v>
      </c>
      <c r="AV109" s="250" t="s">
        <v>674</v>
      </c>
      <c r="AW109" s="250" t="s">
        <v>48</v>
      </c>
      <c r="AX109" s="563" t="s">
        <v>672</v>
      </c>
      <c r="AY109" s="559" t="s">
        <v>671</v>
      </c>
      <c r="AZ109" s="559" t="s">
        <v>673</v>
      </c>
      <c r="BA109" s="250" t="s">
        <v>493</v>
      </c>
      <c r="BB109" s="250" t="s">
        <v>717</v>
      </c>
      <c r="BC109" s="250" t="s">
        <v>527</v>
      </c>
      <c r="BD109" s="250" t="s">
        <v>723</v>
      </c>
      <c r="BE109" s="559"/>
      <c r="BF109" s="572" t="s">
        <v>467</v>
      </c>
      <c r="BG109" s="250" t="s">
        <v>468</v>
      </c>
      <c r="BH109" s="559"/>
      <c r="BI109" s="572" t="s">
        <v>485</v>
      </c>
      <c r="BJ109" s="250" t="s">
        <v>486</v>
      </c>
      <c r="BK109" s="250" t="s">
        <v>484</v>
      </c>
      <c r="BL109" s="250" t="s">
        <v>480</v>
      </c>
      <c r="BM109" s="250" t="s">
        <v>489</v>
      </c>
      <c r="BN109" s="250" t="s">
        <v>503</v>
      </c>
      <c r="BO109" s="572" t="s">
        <v>487</v>
      </c>
      <c r="BP109" s="250" t="s">
        <v>488</v>
      </c>
      <c r="BQ109" s="250" t="s">
        <v>495</v>
      </c>
      <c r="BR109" s="250" t="s">
        <v>499</v>
      </c>
      <c r="BS109" s="572" t="s">
        <v>469</v>
      </c>
      <c r="BT109" s="250" t="s">
        <v>470</v>
      </c>
      <c r="BU109" s="250" t="s">
        <v>479</v>
      </c>
      <c r="BV109" s="250" t="s">
        <v>496</v>
      </c>
      <c r="BW109" s="250" t="s">
        <v>498</v>
      </c>
      <c r="BX109" s="572" t="s">
        <v>494</v>
      </c>
      <c r="BY109" s="250" t="s">
        <v>224</v>
      </c>
      <c r="BZ109" s="250" t="s">
        <v>47</v>
      </c>
      <c r="CA109" s="250" t="s">
        <v>497</v>
      </c>
      <c r="CB109" s="250"/>
      <c r="CD109" s="577"/>
    </row>
    <row r="110" spans="5:83" x14ac:dyDescent="0.2">
      <c r="E110" s="175">
        <v>0.1</v>
      </c>
      <c r="F110" s="222">
        <v>1.0000000000000001E-9</v>
      </c>
      <c r="G110" s="222"/>
      <c r="H110" s="222">
        <f t="shared" ref="H110:H141" si="177">F110*Vout</f>
        <v>1.2000000000000002E-8</v>
      </c>
      <c r="I110" s="556">
        <f t="shared" ref="I110:I141" si="178">VIN_min</f>
        <v>9</v>
      </c>
      <c r="J110" s="452">
        <f t="shared" ref="J110:J141" si="179">(T110+Vfwd1)*Nps</f>
        <v>12.25</v>
      </c>
      <c r="K110" s="452">
        <f t="shared" ref="K110:K141" si="180">(Vout+Vfwd1)*Nps+I110</f>
        <v>21.25</v>
      </c>
      <c r="L110" s="452"/>
      <c r="M110" s="222">
        <f t="shared" ref="M110:M141" si="181">(Vout+Vfwd1)*Nps/((Vout+Vfwd1)*Nps+I110)</f>
        <v>0.57647058823529407</v>
      </c>
      <c r="N110" s="177">
        <f>M110*I110*Isw_max*0.5*Efficiency</f>
        <v>10.104088235294114</v>
      </c>
      <c r="O110" s="177">
        <f t="shared" si="151"/>
        <v>1.2000000000000002E-8</v>
      </c>
      <c r="P110" s="222">
        <f t="shared" ref="P110:P141" si="182">N110/Vout</f>
        <v>0.84200735294117612</v>
      </c>
      <c r="Q110" s="222">
        <f t="shared" ref="Q110:Q141" si="183">MIN(Vout,N110/F110)</f>
        <v>12</v>
      </c>
      <c r="R110" s="222"/>
      <c r="S110" s="177">
        <f t="shared" ref="S110:S141" si="184">(SQRT(Isw_max^2*Nps^2*I110^2+4*Isw_max*F110/Efficiency*(Nps^2*Vfwd1*I110-Nps*I110^2)+4*(F110/Efficiency)^2*Nps^2*Vfwd1^2+8*(F110/Efficiency)^2*Nps*Vfwd1*I110+4*(F110/Efficiency)^2*I110^2)-2*F110/Efficiency*I110-2*F110/Efficiency*Nps*Vfwd1+Isw_max*Nps*I110)/(4*F110/Efficiency*Nps)</f>
        <v>17527499990.999996</v>
      </c>
      <c r="T110" s="177">
        <f t="shared" ref="T110:T141" si="185">MIN(Vout, S110)</f>
        <v>12</v>
      </c>
      <c r="U110" s="222">
        <f t="shared" ref="U110:U141" si="186">MIN(2*Vout*F110/(Efficiency*I110*M110), Isw_max)</f>
        <v>4.8693161475116375E-9</v>
      </c>
      <c r="V110" s="222">
        <f t="shared" ref="V110:V141" si="187">L*U110/I110*1000000</f>
        <v>3.7872458925090516E-9</v>
      </c>
      <c r="W110" s="222">
        <f t="shared" ref="W110:W141" si="188">L*U110/J110*1000000</f>
        <v>2.7824663700066501E-9</v>
      </c>
      <c r="X110" s="202">
        <f t="shared" ref="X110:X141" si="189">IF(1/((350000*L)*(1/I110+1/J110))&gt;Isw_min, 350, 0.001/((Isw_min*L)*(1/I110+1/J110)))</f>
        <v>350</v>
      </c>
      <c r="Y110" s="452">
        <f t="shared" ref="Y110:Y169" si="190">MIN(1/(V110+W110)*1000, 350)</f>
        <v>350</v>
      </c>
      <c r="AA110" s="222">
        <f t="shared" ref="AA110:AA141" si="191">1/((X110*1000*L)*(1/I110+1/J110))</f>
        <v>2.1176470588235294</v>
      </c>
      <c r="AB110" s="178">
        <f t="shared" ref="AB110:AB141" si="192">L*AA110/J110*1000000</f>
        <v>1.2100840336134453</v>
      </c>
      <c r="AC110" s="178">
        <f t="shared" ref="AC110:AC141" si="193">0.5*AB110*AA110*Nps*X110/1000</f>
        <v>0.4484429065743944</v>
      </c>
      <c r="AD110" s="178"/>
      <c r="AE110" s="178">
        <f t="shared" ref="AE110:AE141" si="194">L*Isw_min/J110*1000000</f>
        <v>0.46857142857142853</v>
      </c>
      <c r="AF110" s="560">
        <f>MAX(12000,F110/(0.5*AE110/1000000*Isw_min*Nps))/1000</f>
        <v>12</v>
      </c>
      <c r="AG110" s="543">
        <f t="shared" ref="AG110:AG141" si="195">0.5*AE110/1000000*Isw_min*Nps*X110*1000</f>
        <v>6.723999999999998E-2</v>
      </c>
      <c r="AI110" s="178">
        <f t="shared" ref="AI110:AI141" si="196">SQRT(F110/(0.5*L/J110*Fsw_DCM*Nps))</f>
        <v>1E-4</v>
      </c>
      <c r="AJ110" s="178">
        <f t="shared" ref="AJ110:AJ141" si="197">MAX(IF(F110&gt;AC110,U110,AI110),Isw_min)</f>
        <v>0.82</v>
      </c>
      <c r="AK110" s="178">
        <f t="shared" ref="AK110:AK141" si="198">IF(F110&gt;AG110, (AJ110-Isw_min)/1.08*0.8+1.2, AF110*0.2/350+1)</f>
        <v>1.0068571428571429</v>
      </c>
      <c r="AM110" s="560">
        <f t="shared" ref="AM110:AM141" si="199">F110*1000</f>
        <v>1.0000000000000002E-6</v>
      </c>
      <c r="AN110" s="470">
        <f t="shared" ref="AN110:AN141" si="200">IF(F110&gt;AG110, Y110, AF110)</f>
        <v>12</v>
      </c>
      <c r="AP110" s="470">
        <f t="shared" ref="AP110:AP141" si="201">IF(H110&gt;N110, "",AM110)</f>
        <v>1.0000000000000002E-6</v>
      </c>
      <c r="AQ110" s="470">
        <f t="shared" ref="AQ110:AQ141" si="202">IF(H110&gt;N110, "",AN110)</f>
        <v>12</v>
      </c>
      <c r="AS110" s="6">
        <f t="shared" si="153"/>
        <v>83.333333333333329</v>
      </c>
      <c r="AT110" s="6">
        <f t="shared" ref="AT110:AT141" si="203">L*AJ110/I110*1000000</f>
        <v>0.63777777777777767</v>
      </c>
      <c r="AU110" s="6">
        <f t="shared" ref="AU110:AU169" si="204">AS110-AT110</f>
        <v>82.695555555555558</v>
      </c>
      <c r="AV110" s="6"/>
      <c r="AW110" s="178">
        <f t="shared" ref="AW110:AW169" si="205">AT110/AS110</f>
        <v>7.6533333333333323E-3</v>
      </c>
      <c r="AX110" s="178">
        <f t="shared" si="134"/>
        <v>2.8240799999999996E-2</v>
      </c>
      <c r="AY110" s="178">
        <f t="shared" si="135"/>
        <v>0.40686213333333332</v>
      </c>
      <c r="AZ110" s="178">
        <f t="shared" si="156"/>
        <v>6.9411227259291108E-2</v>
      </c>
      <c r="BA110" s="470">
        <f>L*Isw_max^2/(2*Vout_ripple*Vout)*1000000000*((1+M110)/2)^2</f>
        <v>25.385458958093036</v>
      </c>
      <c r="BB110" s="470">
        <f>L*F110^2/(2*Cout*Vout*Nps^2)*1000000000*((1+M110)/(1-M110))^2+F110*RCoutEsr</f>
        <v>3.0000000859792274E-9</v>
      </c>
      <c r="BC110" s="6">
        <f t="shared" ref="BC106:BC169" si="206">H110/Efficiency/I110*AU110/Vinripple1</f>
        <v>1.7194657425456648E-7</v>
      </c>
      <c r="BD110" s="470">
        <f>((BY110/I110/Efficiency)*AU110/Cin+(BY110/I110/Efficiency)*RCinEsr)*1000</f>
        <v>1.1610604288499027E-5</v>
      </c>
      <c r="BF110" s="178">
        <f t="shared" si="157"/>
        <v>4.1416990609061767E-2</v>
      </c>
      <c r="BG110" s="178">
        <f t="shared" si="137"/>
        <v>0.47161209295587642</v>
      </c>
      <c r="BI110" s="543">
        <f t="shared" ref="BI110:BI169" si="207">Rdson*BF110^2</f>
        <v>1.8869038222222215E-4</v>
      </c>
      <c r="BJ110" s="543">
        <f t="shared" ref="BJ110:BJ169" si="208">0.5*K110*AJ110*AN110*1000*Trise</f>
        <v>1.0455000000000002E-3</v>
      </c>
      <c r="BK110" s="543">
        <f t="shared" ref="BK110:BK169" si="209">Qg*Vdd*AN110*1000</f>
        <v>5.9999999999999995E-4</v>
      </c>
      <c r="BL110" s="543">
        <f t="shared" ref="BL110:BL169" si="210">0.5*(Coss+Csw)*K110^2*AN110*1000</f>
        <v>1.21921875E-3</v>
      </c>
      <c r="BM110">
        <f t="shared" ref="BM110:BM169" si="211">I110*IQ</f>
        <v>2.6099999999999999E-3</v>
      </c>
      <c r="BN110" s="470">
        <f t="shared" ref="BN110:BN169" si="212">SUM(BI110:BM110)*1000</f>
        <v>5.6634091322222222</v>
      </c>
      <c r="BO110" s="543">
        <f t="shared" ref="BO110:BO169" si="213">Vfwd2*F110</f>
        <v>4.0000000000000007E-10</v>
      </c>
      <c r="BR110" s="470">
        <f t="shared" ref="BR110:BR169" si="214">SUM(BO110:BQ110)*1000</f>
        <v>4.0000000000000009E-7</v>
      </c>
      <c r="BS110" s="543">
        <f t="shared" ref="BS110:BS169" si="215">Rdcr_pri*BF110^2</f>
        <v>6.8614684444444417E-5</v>
      </c>
      <c r="BT110" s="543">
        <f t="shared" ref="BT110:BT169" si="216">Rdcr_sec*BG110^2</f>
        <v>8.8967186488888884E-3</v>
      </c>
      <c r="BU110" s="543">
        <f t="shared" ref="BU110:BU169" si="217">AJ110^2.5*AN110^2.5*k_core</f>
        <v>0</v>
      </c>
      <c r="BV110" s="543">
        <f t="shared" ref="BV110:BV169" si="218">0.5*Lleak*0.000000001*AJ110^2*AN110*1000</f>
        <v>3.0257999999999994E-4</v>
      </c>
      <c r="BW110" s="470">
        <f t="shared" ref="BW110:BW169" si="219">SUM(BS110:BV110)*1000</f>
        <v>9.2679133333333326</v>
      </c>
      <c r="BX110" s="178">
        <f t="shared" ref="BX110:BX169" si="220">SUM(BI110:BM110,BO110:BQ110,BS110:BV110)</f>
        <v>1.4931322865555555E-2</v>
      </c>
      <c r="BY110" s="6">
        <f t="shared" ref="BY110:BY169" si="221">MIN(H110,O110)</f>
        <v>1.2000000000000002E-8</v>
      </c>
      <c r="BZ110" s="178">
        <f t="shared" ref="BZ110:BZ169" si="222">BY110/(BY110+BX110)</f>
        <v>8.0367898168852123E-7</v>
      </c>
      <c r="CA110" s="6">
        <f t="shared" ref="CA110:CA169" si="223">BZ110*100</f>
        <v>8.0367898168852116E-5</v>
      </c>
      <c r="CD110" s="577">
        <f t="shared" ref="CD110:CD141" si="224">IF(ABS(F110-Ioutmax_Vinmin)&lt;Iout/200, AN110, -50)</f>
        <v>-50</v>
      </c>
      <c r="CE110">
        <f t="shared" ref="CE110:CE141" si="225">IF(ABS(F110-Ioutmax_Vinmin)&lt;Iout/200, N110*BZ110, -50)</f>
        <v>-50</v>
      </c>
    </row>
    <row r="111" spans="5:83" x14ac:dyDescent="0.2">
      <c r="E111" s="175">
        <v>1</v>
      </c>
      <c r="F111" s="222">
        <f t="shared" ref="F111:F142" si="226">IF(PLOT_TYPE=1, E111/100*Iout_max, min_I*EXP(N111*rr/100))</f>
        <v>8.0000000000000002E-3</v>
      </c>
      <c r="G111" s="222"/>
      <c r="H111" s="222">
        <f t="shared" si="177"/>
        <v>9.6000000000000002E-2</v>
      </c>
      <c r="I111" s="556">
        <f t="shared" si="178"/>
        <v>9</v>
      </c>
      <c r="J111" s="452">
        <f t="shared" si="179"/>
        <v>12.25</v>
      </c>
      <c r="K111" s="452">
        <f t="shared" si="180"/>
        <v>21.25</v>
      </c>
      <c r="L111" s="452"/>
      <c r="M111" s="222">
        <f t="shared" si="181"/>
        <v>0.57647058823529407</v>
      </c>
      <c r="N111" s="177">
        <f t="shared" ref="N111:N141" si="227">M111*I111*Isw_max*0.5*Efficiency</f>
        <v>10.104088235294114</v>
      </c>
      <c r="O111" s="177">
        <f t="shared" si="151"/>
        <v>9.6000000000000002E-2</v>
      </c>
      <c r="P111" s="222">
        <f t="shared" si="182"/>
        <v>0.84200735294117612</v>
      </c>
      <c r="Q111" s="222">
        <f t="shared" si="183"/>
        <v>12</v>
      </c>
      <c r="R111" s="222"/>
      <c r="S111" s="177">
        <f t="shared" si="184"/>
        <v>2181.9385310749817</v>
      </c>
      <c r="T111" s="177">
        <f t="shared" si="185"/>
        <v>12</v>
      </c>
      <c r="U111" s="222">
        <f t="shared" si="186"/>
        <v>3.8954529180093102E-2</v>
      </c>
      <c r="V111" s="222">
        <f t="shared" si="187"/>
        <v>3.0297967140072414E-2</v>
      </c>
      <c r="W111" s="222">
        <f t="shared" si="188"/>
        <v>2.2259730960053202E-2</v>
      </c>
      <c r="X111" s="202">
        <f t="shared" si="189"/>
        <v>350</v>
      </c>
      <c r="Y111" s="452">
        <f t="shared" si="190"/>
        <v>350</v>
      </c>
      <c r="AA111" s="222">
        <f t="shared" si="191"/>
        <v>2.1176470588235294</v>
      </c>
      <c r="AB111" s="178">
        <f t="shared" si="192"/>
        <v>1.2100840336134453</v>
      </c>
      <c r="AC111" s="178">
        <f t="shared" si="193"/>
        <v>0.4484429065743944</v>
      </c>
      <c r="AD111" s="178"/>
      <c r="AE111" s="178">
        <f t="shared" si="194"/>
        <v>0.46857142857142853</v>
      </c>
      <c r="AF111" s="560">
        <f>MAX(12000,F111/(0.5*AE111/1000000*Isw_min*Nps))/1000</f>
        <v>41.64187983343249</v>
      </c>
      <c r="AG111" s="543">
        <f t="shared" si="195"/>
        <v>6.723999999999998E-2</v>
      </c>
      <c r="AI111" s="178">
        <f t="shared" si="196"/>
        <v>0.28284271247461901</v>
      </c>
      <c r="AJ111" s="178">
        <f t="shared" si="197"/>
        <v>0.82</v>
      </c>
      <c r="AK111" s="178">
        <f t="shared" si="198"/>
        <v>1.0237953599048186</v>
      </c>
      <c r="AM111" s="560">
        <f t="shared" si="199"/>
        <v>8</v>
      </c>
      <c r="AN111" s="470">
        <f t="shared" si="200"/>
        <v>41.64187983343249</v>
      </c>
      <c r="AP111" s="470">
        <f t="shared" si="201"/>
        <v>8</v>
      </c>
      <c r="AQ111" s="470">
        <f t="shared" si="202"/>
        <v>41.64187983343249</v>
      </c>
      <c r="AS111" s="6">
        <f t="shared" si="153"/>
        <v>24.014285714285709</v>
      </c>
      <c r="AT111" s="6">
        <f t="shared" si="203"/>
        <v>0.63777777777777767</v>
      </c>
      <c r="AU111" s="6">
        <f t="shared" si="204"/>
        <v>23.376507936507931</v>
      </c>
      <c r="AV111" s="6"/>
      <c r="AW111" s="178">
        <f t="shared" si="205"/>
        <v>2.6558265582655827E-2</v>
      </c>
      <c r="AX111" s="178">
        <f t="shared" si="134"/>
        <v>9.8000000000000004E-2</v>
      </c>
      <c r="AY111" s="178">
        <f t="shared" si="135"/>
        <v>0.39911111111111108</v>
      </c>
      <c r="AZ111" s="178">
        <f t="shared" si="156"/>
        <v>0.24554565701559022</v>
      </c>
      <c r="BA111" s="470">
        <f>L*Isw_max^2/(2*Vout_ripple*Vout)*1000000000*((1+M111)/2)^2</f>
        <v>25.385458958093036</v>
      </c>
      <c r="BB111" s="470">
        <f>L*F111^2/(2*Cout*Vout*Nps^2)*1000000000*((1+M111)/(1-M111))^2+F111*RCoutEsr</f>
        <v>2.9502670519218982E-2</v>
      </c>
      <c r="BC111" s="6">
        <f t="shared" si="206"/>
        <v>0.38884899491527164</v>
      </c>
      <c r="BD111" s="470">
        <f>((BY111/I111/Efficiency)*AU111/Cin+(BY111/I111/Efficiency)*RCinEsr)*1000</f>
        <v>26.280991367307148</v>
      </c>
      <c r="BF111" s="178">
        <f t="shared" si="157"/>
        <v>7.7153046554187296E-2</v>
      </c>
      <c r="BG111" s="178">
        <f t="shared" si="137"/>
        <v>0.4670982131637208</v>
      </c>
      <c r="BI111" s="543">
        <f t="shared" si="207"/>
        <v>6.5478518518518507E-4</v>
      </c>
      <c r="BJ111" s="543">
        <f t="shared" si="208"/>
        <v>3.6280487804878059E-3</v>
      </c>
      <c r="BK111" s="543">
        <f t="shared" si="209"/>
        <v>2.0820939916716247E-3</v>
      </c>
      <c r="BL111" s="543">
        <f t="shared" si="210"/>
        <v>4.2308800565139804E-3</v>
      </c>
      <c r="BM111">
        <f t="shared" si="211"/>
        <v>2.6099999999999999E-3</v>
      </c>
      <c r="BN111" s="470">
        <f t="shared" si="212"/>
        <v>13.205808013858595</v>
      </c>
      <c r="BO111" s="543">
        <f t="shared" si="213"/>
        <v>3.2000000000000002E-3</v>
      </c>
      <c r="BR111" s="470">
        <f t="shared" si="214"/>
        <v>3.2</v>
      </c>
      <c r="BS111" s="543">
        <f t="shared" si="215"/>
        <v>2.3810370370370369E-4</v>
      </c>
      <c r="BT111" s="543">
        <f t="shared" si="216"/>
        <v>8.727229629629631E-3</v>
      </c>
      <c r="BU111" s="543">
        <f t="shared" si="217"/>
        <v>0</v>
      </c>
      <c r="BV111" s="543">
        <f t="shared" si="218"/>
        <v>1.0500000000000002E-3</v>
      </c>
      <c r="BW111" s="470">
        <f t="shared" si="219"/>
        <v>10.015333333333334</v>
      </c>
      <c r="BX111" s="178">
        <f t="shared" si="220"/>
        <v>2.6421141347191927E-2</v>
      </c>
      <c r="BY111" s="6">
        <f t="shared" si="221"/>
        <v>9.6000000000000002E-2</v>
      </c>
      <c r="BZ111" s="178">
        <f t="shared" si="222"/>
        <v>0.7841782795321246</v>
      </c>
      <c r="CA111" s="6">
        <f t="shared" si="223"/>
        <v>78.417827953212466</v>
      </c>
      <c r="CD111" s="577">
        <f t="shared" si="224"/>
        <v>-50</v>
      </c>
      <c r="CE111">
        <f t="shared" si="225"/>
        <v>-50</v>
      </c>
    </row>
    <row r="112" spans="5:83" x14ac:dyDescent="0.2">
      <c r="E112" s="175">
        <v>2</v>
      </c>
      <c r="F112" s="222">
        <f t="shared" si="226"/>
        <v>1.6E-2</v>
      </c>
      <c r="G112" s="222"/>
      <c r="H112" s="222">
        <f t="shared" si="177"/>
        <v>0.192</v>
      </c>
      <c r="I112" s="556">
        <f t="shared" si="178"/>
        <v>9</v>
      </c>
      <c r="J112" s="452">
        <f t="shared" si="179"/>
        <v>12.25</v>
      </c>
      <c r="K112" s="452">
        <f t="shared" si="180"/>
        <v>21.25</v>
      </c>
      <c r="L112" s="452"/>
      <c r="M112" s="222">
        <f t="shared" si="181"/>
        <v>0.57647058823529407</v>
      </c>
      <c r="N112" s="177">
        <f t="shared" si="227"/>
        <v>10.104088235294114</v>
      </c>
      <c r="O112" s="177">
        <f t="shared" si="151"/>
        <v>0.192</v>
      </c>
      <c r="P112" s="222">
        <f t="shared" si="182"/>
        <v>0.84200735294117612</v>
      </c>
      <c r="Q112" s="222">
        <f t="shared" si="183"/>
        <v>12</v>
      </c>
      <c r="R112" s="222"/>
      <c r="S112" s="177">
        <f t="shared" si="184"/>
        <v>1086.4708204489668</v>
      </c>
      <c r="T112" s="177">
        <f t="shared" si="185"/>
        <v>12</v>
      </c>
      <c r="U112" s="222">
        <f t="shared" si="186"/>
        <v>7.7909058360186204E-2</v>
      </c>
      <c r="V112" s="222">
        <f t="shared" si="187"/>
        <v>6.0595934280144828E-2</v>
      </c>
      <c r="W112" s="222">
        <f t="shared" si="188"/>
        <v>4.4519461920106404E-2</v>
      </c>
      <c r="X112" s="202">
        <f t="shared" si="189"/>
        <v>350</v>
      </c>
      <c r="Y112" s="452">
        <f t="shared" si="190"/>
        <v>350</v>
      </c>
      <c r="AA112" s="222">
        <f t="shared" si="191"/>
        <v>2.1176470588235294</v>
      </c>
      <c r="AB112" s="178">
        <f t="shared" si="192"/>
        <v>1.2100840336134453</v>
      </c>
      <c r="AC112" s="178">
        <f t="shared" si="193"/>
        <v>0.4484429065743944</v>
      </c>
      <c r="AD112" s="178"/>
      <c r="AE112" s="178">
        <f t="shared" si="194"/>
        <v>0.46857142857142853</v>
      </c>
      <c r="AF112" s="560">
        <f>MAX(12000,F112/(0.5*AE112/1000000*Isw_min*Nps))/1000</f>
        <v>83.283759666864981</v>
      </c>
      <c r="AG112" s="543">
        <f t="shared" si="195"/>
        <v>6.723999999999998E-2</v>
      </c>
      <c r="AI112" s="178">
        <f t="shared" si="196"/>
        <v>0.4</v>
      </c>
      <c r="AJ112" s="178">
        <f t="shared" si="197"/>
        <v>0.82</v>
      </c>
      <c r="AK112" s="178">
        <f t="shared" si="198"/>
        <v>1.0475907198096372</v>
      </c>
      <c r="AM112" s="560">
        <f t="shared" si="199"/>
        <v>16</v>
      </c>
      <c r="AN112" s="470">
        <f t="shared" si="200"/>
        <v>83.283759666864981</v>
      </c>
      <c r="AP112" s="470">
        <f t="shared" si="201"/>
        <v>16</v>
      </c>
      <c r="AQ112" s="470">
        <f t="shared" si="202"/>
        <v>83.283759666864981</v>
      </c>
      <c r="AS112" s="6">
        <f t="shared" si="153"/>
        <v>12.007142857142854</v>
      </c>
      <c r="AT112" s="6">
        <f t="shared" si="203"/>
        <v>0.63777777777777767</v>
      </c>
      <c r="AU112" s="6">
        <f t="shared" si="204"/>
        <v>11.369365079365076</v>
      </c>
      <c r="AV112" s="6"/>
      <c r="AW112" s="178">
        <f t="shared" si="205"/>
        <v>5.3116531165311655E-2</v>
      </c>
      <c r="AX112" s="178">
        <f t="shared" si="134"/>
        <v>0.19600000000000001</v>
      </c>
      <c r="AY112" s="178">
        <f t="shared" si="135"/>
        <v>0.38822222222222219</v>
      </c>
      <c r="AZ112" s="178">
        <f t="shared" si="156"/>
        <v>0.50486548368631945</v>
      </c>
      <c r="BA112" s="470">
        <f>L*Isw_max^2/(2*Vout_ripple*Vout)*1000000000*((1+M112)/2)^2</f>
        <v>25.385458958093036</v>
      </c>
      <c r="BB112" s="470">
        <f>L*F112^2/(2*Cout*Vout*Nps^2)*1000000000*((1+M112)/(1-M112))^2+F112*RCoutEsr</f>
        <v>7.0010682076875927E-2</v>
      </c>
      <c r="BC112" s="6">
        <f t="shared" si="206"/>
        <v>0.37824008581123586</v>
      </c>
      <c r="BD112" s="470">
        <f>((BY112/I112/Efficiency)*AU112/Cin+(BY112/I112/Efficiency)*RCinEsr)*1000</f>
        <v>25.598574213311053</v>
      </c>
      <c r="BF112" s="178">
        <f t="shared" si="157"/>
        <v>0.10911088481533446</v>
      </c>
      <c r="BG112" s="178">
        <f t="shared" si="137"/>
        <v>0.46068226376554605</v>
      </c>
      <c r="BI112" s="543">
        <f t="shared" si="207"/>
        <v>1.3095703703703701E-3</v>
      </c>
      <c r="BJ112" s="543">
        <f t="shared" si="208"/>
        <v>7.2560975609756119E-3</v>
      </c>
      <c r="BK112" s="543">
        <f t="shared" si="209"/>
        <v>4.1641879833432495E-3</v>
      </c>
      <c r="BL112" s="543">
        <f t="shared" si="210"/>
        <v>8.4617601130279607E-3</v>
      </c>
      <c r="BM112">
        <f t="shared" si="211"/>
        <v>2.6099999999999999E-3</v>
      </c>
      <c r="BN112" s="470">
        <f t="shared" si="212"/>
        <v>23.801616027717195</v>
      </c>
      <c r="BO112" s="543">
        <f t="shared" si="213"/>
        <v>6.4000000000000003E-3</v>
      </c>
      <c r="BR112" s="470">
        <f t="shared" si="214"/>
        <v>6.4</v>
      </c>
      <c r="BS112" s="543">
        <f t="shared" si="215"/>
        <v>4.7620740740740737E-4</v>
      </c>
      <c r="BT112" s="543">
        <f t="shared" si="216"/>
        <v>8.4891259259259264E-3</v>
      </c>
      <c r="BU112" s="543">
        <f t="shared" si="217"/>
        <v>0</v>
      </c>
      <c r="BV112" s="543">
        <f t="shared" si="218"/>
        <v>2.1000000000000003E-3</v>
      </c>
      <c r="BW112" s="470">
        <f t="shared" si="219"/>
        <v>11.065333333333333</v>
      </c>
      <c r="BX112" s="178">
        <f t="shared" si="220"/>
        <v>4.1266949361050527E-2</v>
      </c>
      <c r="BY112" s="6">
        <f t="shared" si="221"/>
        <v>0.192</v>
      </c>
      <c r="BZ112" s="178">
        <f t="shared" si="222"/>
        <v>0.82309131459005991</v>
      </c>
      <c r="CA112" s="6">
        <f t="shared" si="223"/>
        <v>82.309131459005997</v>
      </c>
      <c r="CD112" s="577">
        <f t="shared" si="224"/>
        <v>-50</v>
      </c>
      <c r="CE112">
        <f t="shared" si="225"/>
        <v>-50</v>
      </c>
    </row>
    <row r="113" spans="5:83" x14ac:dyDescent="0.2">
      <c r="E113" s="175">
        <v>3</v>
      </c>
      <c r="F113" s="222">
        <f t="shared" si="226"/>
        <v>2.4E-2</v>
      </c>
      <c r="G113" s="222"/>
      <c r="H113" s="222">
        <f t="shared" si="177"/>
        <v>0.28800000000000003</v>
      </c>
      <c r="I113" s="556">
        <f t="shared" si="178"/>
        <v>9</v>
      </c>
      <c r="J113" s="452">
        <f t="shared" si="179"/>
        <v>12.25</v>
      </c>
      <c r="K113" s="452">
        <f t="shared" si="180"/>
        <v>21.25</v>
      </c>
      <c r="L113" s="452"/>
      <c r="M113" s="222">
        <f t="shared" si="181"/>
        <v>0.57647058823529407</v>
      </c>
      <c r="N113" s="177">
        <f t="shared" si="227"/>
        <v>10.104088235294114</v>
      </c>
      <c r="O113" s="177">
        <f t="shared" si="151"/>
        <v>0.28800000000000003</v>
      </c>
      <c r="P113" s="222">
        <f t="shared" si="182"/>
        <v>0.84200735294117612</v>
      </c>
      <c r="Q113" s="222">
        <f t="shared" si="183"/>
        <v>12</v>
      </c>
      <c r="R113" s="222"/>
      <c r="S113" s="177">
        <f t="shared" si="184"/>
        <v>721.31561821952573</v>
      </c>
      <c r="T113" s="177">
        <f t="shared" si="185"/>
        <v>12</v>
      </c>
      <c r="U113" s="222">
        <f t="shared" si="186"/>
        <v>0.11686358754027931</v>
      </c>
      <c r="V113" s="222">
        <f t="shared" si="187"/>
        <v>9.0893901420217249E-2</v>
      </c>
      <c r="W113" s="222">
        <f t="shared" si="188"/>
        <v>6.6779192880159613E-2</v>
      </c>
      <c r="X113" s="202">
        <f t="shared" si="189"/>
        <v>350</v>
      </c>
      <c r="Y113" s="452">
        <f t="shared" si="190"/>
        <v>350</v>
      </c>
      <c r="AA113" s="222">
        <f t="shared" si="191"/>
        <v>2.1176470588235294</v>
      </c>
      <c r="AB113" s="178">
        <f t="shared" si="192"/>
        <v>1.2100840336134453</v>
      </c>
      <c r="AC113" s="178">
        <f t="shared" si="193"/>
        <v>0.4484429065743944</v>
      </c>
      <c r="AD113" s="178"/>
      <c r="AE113" s="178">
        <f t="shared" si="194"/>
        <v>0.46857142857142853</v>
      </c>
      <c r="AF113" s="560">
        <f>MAX(12000,F113/(0.5*AE113/1000000*Isw_min*Nps))/1000</f>
        <v>124.92563950029748</v>
      </c>
      <c r="AG113" s="543">
        <f t="shared" si="195"/>
        <v>6.723999999999998E-2</v>
      </c>
      <c r="AI113" s="178">
        <f t="shared" si="196"/>
        <v>0.48989794855663565</v>
      </c>
      <c r="AJ113" s="178">
        <f t="shared" si="197"/>
        <v>0.82</v>
      </c>
      <c r="AK113" s="178">
        <f t="shared" si="198"/>
        <v>1.0713860797144557</v>
      </c>
      <c r="AM113" s="560">
        <f t="shared" si="199"/>
        <v>24</v>
      </c>
      <c r="AN113" s="470">
        <f t="shared" si="200"/>
        <v>124.92563950029748</v>
      </c>
      <c r="AP113" s="470">
        <f t="shared" si="201"/>
        <v>24</v>
      </c>
      <c r="AQ113" s="470">
        <f t="shared" si="202"/>
        <v>124.92563950029748</v>
      </c>
      <c r="AS113" s="6">
        <f t="shared" si="153"/>
        <v>8.0047619047619012</v>
      </c>
      <c r="AT113" s="6">
        <f t="shared" si="203"/>
        <v>0.63777777777777767</v>
      </c>
      <c r="AU113" s="6">
        <f t="shared" si="204"/>
        <v>7.3669841269841232</v>
      </c>
      <c r="AV113" s="6"/>
      <c r="AW113" s="178">
        <f t="shared" si="205"/>
        <v>7.96747967479675E-2</v>
      </c>
      <c r="AX113" s="178">
        <f t="shared" si="134"/>
        <v>0.29400000000000004</v>
      </c>
      <c r="AY113" s="178">
        <f t="shared" si="135"/>
        <v>0.3773333333333333</v>
      </c>
      <c r="AZ113" s="178">
        <f t="shared" si="156"/>
        <v>0.77915194346289773</v>
      </c>
      <c r="BA113" s="470">
        <f>L*Isw_max^2/(2*Vout_ripple*Vout)*1000000000*((1+M113)/2)^2</f>
        <v>25.385458958093036</v>
      </c>
      <c r="BB113" s="470">
        <f>L*F113^2/(2*Cout*Vout*Nps^2)*1000000000*((1+M113)/(1-M113))^2+F113*RCoutEsr</f>
        <v>0.12152403467297085</v>
      </c>
      <c r="BC113" s="6">
        <f t="shared" si="206"/>
        <v>0.36763117670719997</v>
      </c>
      <c r="BD113" s="470">
        <f>((BY113/I113/Efficiency)*AU113/Cin+(BY113/I113/Efficiency)*RCinEsr)*1000</f>
        <v>24.916157059314941</v>
      </c>
      <c r="BF113" s="178">
        <f t="shared" si="157"/>
        <v>0.13363299659057931</v>
      </c>
      <c r="BG113" s="178">
        <f t="shared" si="137"/>
        <v>0.45417568798379715</v>
      </c>
      <c r="BI113" s="543">
        <f t="shared" si="207"/>
        <v>1.9643555555555561E-3</v>
      </c>
      <c r="BJ113" s="543">
        <f t="shared" si="208"/>
        <v>1.0884146341463419E-2</v>
      </c>
      <c r="BK113" s="543">
        <f t="shared" si="209"/>
        <v>6.2462819750148729E-3</v>
      </c>
      <c r="BL113" s="543">
        <f t="shared" si="210"/>
        <v>1.2692640169541943E-2</v>
      </c>
      <c r="BM113">
        <f t="shared" si="211"/>
        <v>2.6099999999999999E-3</v>
      </c>
      <c r="BN113" s="470">
        <f t="shared" si="212"/>
        <v>34.397424041575796</v>
      </c>
      <c r="BO113" s="543">
        <f t="shared" si="213"/>
        <v>9.6000000000000009E-3</v>
      </c>
      <c r="BR113" s="470">
        <f t="shared" si="214"/>
        <v>9.6000000000000014</v>
      </c>
      <c r="BS113" s="543">
        <f t="shared" si="215"/>
        <v>7.1431111111111122E-4</v>
      </c>
      <c r="BT113" s="543">
        <f t="shared" si="216"/>
        <v>8.2510222222222183E-3</v>
      </c>
      <c r="BU113" s="543">
        <f t="shared" si="217"/>
        <v>0</v>
      </c>
      <c r="BV113" s="543">
        <f t="shared" si="218"/>
        <v>3.1500000000000009E-3</v>
      </c>
      <c r="BW113" s="470">
        <f t="shared" si="219"/>
        <v>12.115333333333329</v>
      </c>
      <c r="BX113" s="178">
        <f t="shared" si="220"/>
        <v>5.6112757374909117E-2</v>
      </c>
      <c r="BY113" s="6">
        <f t="shared" si="221"/>
        <v>0.28800000000000003</v>
      </c>
      <c r="BZ113" s="178">
        <f t="shared" si="222"/>
        <v>0.83693496921483057</v>
      </c>
      <c r="CA113" s="6">
        <f t="shared" si="223"/>
        <v>83.69349692148306</v>
      </c>
      <c r="CD113" s="577">
        <f t="shared" si="224"/>
        <v>-50</v>
      </c>
      <c r="CE113">
        <f t="shared" si="225"/>
        <v>-50</v>
      </c>
    </row>
    <row r="114" spans="5:83" x14ac:dyDescent="0.2">
      <c r="E114" s="175">
        <v>4</v>
      </c>
      <c r="F114" s="222">
        <f t="shared" si="226"/>
        <v>3.2000000000000001E-2</v>
      </c>
      <c r="G114" s="222"/>
      <c r="H114" s="222">
        <f t="shared" si="177"/>
        <v>0.38400000000000001</v>
      </c>
      <c r="I114" s="556">
        <f t="shared" si="178"/>
        <v>9</v>
      </c>
      <c r="J114" s="452">
        <f t="shared" si="179"/>
        <v>12.25</v>
      </c>
      <c r="K114" s="452">
        <f t="shared" si="180"/>
        <v>21.25</v>
      </c>
      <c r="L114" s="452"/>
      <c r="M114" s="222">
        <f t="shared" si="181"/>
        <v>0.57647058823529407</v>
      </c>
      <c r="N114" s="177">
        <f t="shared" si="227"/>
        <v>10.104088235294114</v>
      </c>
      <c r="O114" s="177">
        <f t="shared" si="151"/>
        <v>0.38400000000000001</v>
      </c>
      <c r="P114" s="222">
        <f t="shared" si="182"/>
        <v>0.84200735294117612</v>
      </c>
      <c r="Q114" s="222">
        <f t="shared" si="183"/>
        <v>12</v>
      </c>
      <c r="R114" s="222"/>
      <c r="S114" s="177">
        <f t="shared" si="184"/>
        <v>538.73854948571432</v>
      </c>
      <c r="T114" s="177">
        <f t="shared" si="185"/>
        <v>12</v>
      </c>
      <c r="U114" s="222">
        <f t="shared" si="186"/>
        <v>0.15581811672037241</v>
      </c>
      <c r="V114" s="222">
        <f t="shared" si="187"/>
        <v>0.12119186856028966</v>
      </c>
      <c r="W114" s="222">
        <f t="shared" si="188"/>
        <v>8.9038923840212808E-2</v>
      </c>
      <c r="X114" s="202">
        <f t="shared" si="189"/>
        <v>350</v>
      </c>
      <c r="Y114" s="452">
        <f t="shared" si="190"/>
        <v>350</v>
      </c>
      <c r="AA114" s="222">
        <f t="shared" si="191"/>
        <v>2.1176470588235294</v>
      </c>
      <c r="AB114" s="178">
        <f t="shared" si="192"/>
        <v>1.2100840336134453</v>
      </c>
      <c r="AC114" s="178">
        <f t="shared" si="193"/>
        <v>0.4484429065743944</v>
      </c>
      <c r="AD114" s="178"/>
      <c r="AE114" s="178">
        <f t="shared" si="194"/>
        <v>0.46857142857142853</v>
      </c>
      <c r="AF114" s="560">
        <f>MAX(12000,F114/(0.5*AE114/1000000*Isw_min*Nps))/1000</f>
        <v>166.56751933372996</v>
      </c>
      <c r="AG114" s="543">
        <f t="shared" si="195"/>
        <v>6.723999999999998E-2</v>
      </c>
      <c r="AI114" s="178">
        <f t="shared" si="196"/>
        <v>0.56568542494923801</v>
      </c>
      <c r="AJ114" s="178">
        <f t="shared" si="197"/>
        <v>0.82</v>
      </c>
      <c r="AK114" s="178">
        <f t="shared" si="198"/>
        <v>1.0951814396192743</v>
      </c>
      <c r="AM114" s="560">
        <f t="shared" si="199"/>
        <v>32</v>
      </c>
      <c r="AN114" s="470">
        <f t="shared" si="200"/>
        <v>166.56751933372996</v>
      </c>
      <c r="AP114" s="470">
        <f t="shared" si="201"/>
        <v>32</v>
      </c>
      <c r="AQ114" s="470">
        <f t="shared" si="202"/>
        <v>166.56751933372996</v>
      </c>
      <c r="AS114" s="6">
        <f t="shared" si="153"/>
        <v>6.0035714285714272</v>
      </c>
      <c r="AT114" s="6">
        <f t="shared" si="203"/>
        <v>0.63777777777777767</v>
      </c>
      <c r="AU114" s="6">
        <f t="shared" si="204"/>
        <v>5.3657936507936492</v>
      </c>
      <c r="AV114" s="6"/>
      <c r="AW114" s="178">
        <f t="shared" si="205"/>
        <v>0.10623306233062331</v>
      </c>
      <c r="AX114" s="178">
        <f t="shared" si="134"/>
        <v>0.39200000000000002</v>
      </c>
      <c r="AY114" s="178">
        <f t="shared" si="135"/>
        <v>0.36644444444444441</v>
      </c>
      <c r="AZ114" s="178">
        <f t="shared" si="156"/>
        <v>1.069739235900546</v>
      </c>
      <c r="BA114" s="470">
        <f>L*Isw_max^2/(2*Vout_ripple*Vout)*1000000000*((1+M114)/2)^2</f>
        <v>25.385458958093036</v>
      </c>
      <c r="BB114" s="470">
        <f>L*F114^2/(2*Cout*Vout*Nps^2)*1000000000*((1+M114)/(1-M114))^2+F114*RCoutEsr</f>
        <v>0.18404272830750371</v>
      </c>
      <c r="BC114" s="6">
        <f t="shared" si="206"/>
        <v>0.35702226760316419</v>
      </c>
      <c r="BD114" s="470">
        <f>((BY114/I114/Efficiency)*AU114/Cin+(BY114/I114/Efficiency)*RCinEsr)*1000</f>
        <v>24.233739905318849</v>
      </c>
      <c r="BF114" s="178">
        <f t="shared" si="157"/>
        <v>0.15430609310837459</v>
      </c>
      <c r="BG114" s="178">
        <f t="shared" si="137"/>
        <v>0.4475745334164612</v>
      </c>
      <c r="BI114" s="543">
        <f t="shared" si="207"/>
        <v>2.6191407407407403E-3</v>
      </c>
      <c r="BJ114" s="543">
        <f t="shared" si="208"/>
        <v>1.4512195121951224E-2</v>
      </c>
      <c r="BK114" s="543">
        <f t="shared" si="209"/>
        <v>8.3283759666864989E-3</v>
      </c>
      <c r="BL114" s="543">
        <f t="shared" si="210"/>
        <v>1.6923520226055921E-2</v>
      </c>
      <c r="BM114">
        <f t="shared" si="211"/>
        <v>2.6099999999999999E-3</v>
      </c>
      <c r="BN114" s="470">
        <f t="shared" si="212"/>
        <v>44.99323205543439</v>
      </c>
      <c r="BO114" s="543">
        <f t="shared" si="213"/>
        <v>1.2800000000000001E-2</v>
      </c>
      <c r="BR114" s="470">
        <f t="shared" si="214"/>
        <v>12.8</v>
      </c>
      <c r="BS114" s="543">
        <f t="shared" si="215"/>
        <v>9.5241481481481475E-4</v>
      </c>
      <c r="BT114" s="543">
        <f t="shared" si="216"/>
        <v>8.0129185185185189E-3</v>
      </c>
      <c r="BU114" s="543">
        <f t="shared" si="217"/>
        <v>0</v>
      </c>
      <c r="BV114" s="543">
        <f t="shared" si="218"/>
        <v>4.2000000000000006E-3</v>
      </c>
      <c r="BW114" s="470">
        <f t="shared" si="219"/>
        <v>13.165333333333335</v>
      </c>
      <c r="BX114" s="178">
        <f t="shared" si="220"/>
        <v>7.0958565388767714E-2</v>
      </c>
      <c r="BY114" s="6">
        <f t="shared" si="221"/>
        <v>0.38400000000000001</v>
      </c>
      <c r="BZ114" s="178">
        <f t="shared" si="222"/>
        <v>0.84403290587982938</v>
      </c>
      <c r="CA114" s="6">
        <f t="shared" si="223"/>
        <v>84.403290587982937</v>
      </c>
      <c r="CD114" s="577">
        <f t="shared" si="224"/>
        <v>-50</v>
      </c>
      <c r="CE114">
        <f t="shared" si="225"/>
        <v>-50</v>
      </c>
    </row>
    <row r="115" spans="5:83" x14ac:dyDescent="0.2">
      <c r="E115" s="175">
        <v>5</v>
      </c>
      <c r="F115" s="222">
        <f t="shared" si="226"/>
        <v>4.0000000000000008E-2</v>
      </c>
      <c r="G115" s="222"/>
      <c r="H115" s="222">
        <f t="shared" si="177"/>
        <v>0.48000000000000009</v>
      </c>
      <c r="I115" s="556">
        <f t="shared" si="178"/>
        <v>9</v>
      </c>
      <c r="J115" s="452">
        <f t="shared" si="179"/>
        <v>12.25</v>
      </c>
      <c r="K115" s="452">
        <f t="shared" si="180"/>
        <v>21.25</v>
      </c>
      <c r="L115" s="452"/>
      <c r="M115" s="222">
        <f t="shared" si="181"/>
        <v>0.57647058823529407</v>
      </c>
      <c r="N115" s="177">
        <f t="shared" si="227"/>
        <v>10.104088235294114</v>
      </c>
      <c r="O115" s="177">
        <f t="shared" si="151"/>
        <v>0.48000000000000009</v>
      </c>
      <c r="P115" s="222">
        <f t="shared" si="182"/>
        <v>0.84200735294117612</v>
      </c>
      <c r="Q115" s="222">
        <f t="shared" si="183"/>
        <v>12</v>
      </c>
      <c r="R115" s="222"/>
      <c r="S115" s="177">
        <f t="shared" si="184"/>
        <v>429.19273934809877</v>
      </c>
      <c r="T115" s="177">
        <f t="shared" si="185"/>
        <v>12</v>
      </c>
      <c r="U115" s="222">
        <f t="shared" si="186"/>
        <v>0.19477264590046553</v>
      </c>
      <c r="V115" s="222">
        <f t="shared" si="187"/>
        <v>0.15148983570036206</v>
      </c>
      <c r="W115" s="222">
        <f t="shared" si="188"/>
        <v>0.111298654800266</v>
      </c>
      <c r="X115" s="202">
        <f t="shared" si="189"/>
        <v>350</v>
      </c>
      <c r="Y115" s="452">
        <f t="shared" si="190"/>
        <v>350</v>
      </c>
      <c r="AA115" s="222">
        <f t="shared" si="191"/>
        <v>2.1176470588235294</v>
      </c>
      <c r="AB115" s="178">
        <f t="shared" si="192"/>
        <v>1.2100840336134453</v>
      </c>
      <c r="AC115" s="178">
        <f t="shared" si="193"/>
        <v>0.4484429065743944</v>
      </c>
      <c r="AD115" s="178"/>
      <c r="AE115" s="178">
        <f t="shared" si="194"/>
        <v>0.46857142857142853</v>
      </c>
      <c r="AF115" s="560">
        <f>MAX(12000,F115/(0.5*AE115/1000000*Isw_min*Nps))/1000</f>
        <v>208.20939916716247</v>
      </c>
      <c r="AG115" s="543">
        <f t="shared" si="195"/>
        <v>6.723999999999998E-2</v>
      </c>
      <c r="AI115" s="178">
        <f t="shared" si="196"/>
        <v>0.63245553203367599</v>
      </c>
      <c r="AJ115" s="178">
        <f t="shared" si="197"/>
        <v>0.82</v>
      </c>
      <c r="AK115" s="178">
        <f t="shared" si="198"/>
        <v>1.1189767995240929</v>
      </c>
      <c r="AM115" s="560">
        <f t="shared" si="199"/>
        <v>40.000000000000007</v>
      </c>
      <c r="AN115" s="470">
        <f t="shared" si="200"/>
        <v>208.20939916716247</v>
      </c>
      <c r="AP115" s="470">
        <f t="shared" si="201"/>
        <v>40.000000000000007</v>
      </c>
      <c r="AQ115" s="470">
        <f t="shared" si="202"/>
        <v>208.20939916716247</v>
      </c>
      <c r="AS115" s="6">
        <f t="shared" si="153"/>
        <v>4.8028571428571407</v>
      </c>
      <c r="AT115" s="6">
        <f t="shared" si="203"/>
        <v>0.63777777777777767</v>
      </c>
      <c r="AU115" s="6">
        <f t="shared" si="204"/>
        <v>4.1650793650793627</v>
      </c>
      <c r="AV115" s="6"/>
      <c r="AW115" s="178">
        <f t="shared" si="205"/>
        <v>0.13279132791327916</v>
      </c>
      <c r="AX115" s="178">
        <f t="shared" si="134"/>
        <v>0.4900000000000001</v>
      </c>
      <c r="AY115" s="178">
        <f t="shared" si="135"/>
        <v>0.35555555555555551</v>
      </c>
      <c r="AZ115" s="178">
        <f t="shared" si="156"/>
        <v>1.3781250000000005</v>
      </c>
      <c r="BA115" s="470">
        <f>L*Isw_max^2/(2*Vout_ripple*Vout)*1000000000*((1+M115)/2)^2</f>
        <v>25.385458958093036</v>
      </c>
      <c r="BB115" s="470">
        <f>L*F115^2/(2*Cout*Vout*Nps^2)*1000000000*((1+M115)/(1-M115))^2+F115*RCoutEsr</f>
        <v>0.25756676298047465</v>
      </c>
      <c r="BC115" s="6">
        <f t="shared" si="206"/>
        <v>0.34641335849912835</v>
      </c>
      <c r="BD115" s="470">
        <f>((BY115/I115/Efficiency)*AU115/Cin+(BY115/I115/Efficiency)*RCinEsr)*1000</f>
        <v>23.551322751322743</v>
      </c>
      <c r="BF115" s="178">
        <f t="shared" si="157"/>
        <v>0.17251945676636871</v>
      </c>
      <c r="BG115" s="178">
        <f t="shared" si="137"/>
        <v>0.44087455173821305</v>
      </c>
      <c r="BI115" s="543">
        <f t="shared" si="207"/>
        <v>3.2739259259259258E-3</v>
      </c>
      <c r="BJ115" s="543">
        <f t="shared" si="208"/>
        <v>1.814024390243903E-2</v>
      </c>
      <c r="BK115" s="543">
        <f t="shared" si="209"/>
        <v>1.0410469958358122E-2</v>
      </c>
      <c r="BL115" s="543">
        <f t="shared" si="210"/>
        <v>2.1154400282569905E-2</v>
      </c>
      <c r="BM115">
        <f t="shared" si="211"/>
        <v>2.6099999999999999E-3</v>
      </c>
      <c r="BN115" s="470">
        <f t="shared" si="212"/>
        <v>55.589040069292977</v>
      </c>
      <c r="BO115" s="543">
        <f t="shared" si="213"/>
        <v>1.6000000000000004E-2</v>
      </c>
      <c r="BR115" s="470">
        <f t="shared" si="214"/>
        <v>16.000000000000004</v>
      </c>
      <c r="BS115" s="543">
        <f t="shared" si="215"/>
        <v>1.1905185185185185E-3</v>
      </c>
      <c r="BT115" s="543">
        <f t="shared" si="216"/>
        <v>7.7748148148148125E-3</v>
      </c>
      <c r="BU115" s="543">
        <f t="shared" si="217"/>
        <v>0</v>
      </c>
      <c r="BV115" s="543">
        <f t="shared" si="218"/>
        <v>5.2500000000000012E-3</v>
      </c>
      <c r="BW115" s="470">
        <f t="shared" si="219"/>
        <v>14.215333333333332</v>
      </c>
      <c r="BX115" s="178">
        <f t="shared" si="220"/>
        <v>8.5804373402626324E-2</v>
      </c>
      <c r="BY115" s="6">
        <f t="shared" si="221"/>
        <v>0.48000000000000009</v>
      </c>
      <c r="BZ115" s="178">
        <f t="shared" si="222"/>
        <v>0.84834975225338538</v>
      </c>
      <c r="CA115" s="6">
        <f t="shared" si="223"/>
        <v>84.834975225338539</v>
      </c>
      <c r="CD115" s="577">
        <f t="shared" si="224"/>
        <v>-50</v>
      </c>
      <c r="CE115">
        <f t="shared" si="225"/>
        <v>-50</v>
      </c>
    </row>
    <row r="116" spans="5:83" x14ac:dyDescent="0.2">
      <c r="E116" s="175">
        <v>6</v>
      </c>
      <c r="F116" s="222">
        <f t="shared" si="226"/>
        <v>4.8000000000000001E-2</v>
      </c>
      <c r="G116" s="222"/>
      <c r="H116" s="222">
        <f t="shared" si="177"/>
        <v>0.57600000000000007</v>
      </c>
      <c r="I116" s="556">
        <f t="shared" si="178"/>
        <v>9</v>
      </c>
      <c r="J116" s="452">
        <f t="shared" si="179"/>
        <v>12.25</v>
      </c>
      <c r="K116" s="452">
        <f t="shared" si="180"/>
        <v>21.25</v>
      </c>
      <c r="L116" s="452"/>
      <c r="M116" s="222">
        <f t="shared" si="181"/>
        <v>0.57647058823529407</v>
      </c>
      <c r="N116" s="177">
        <f t="shared" si="227"/>
        <v>10.104088235294114</v>
      </c>
      <c r="O116" s="177">
        <f t="shared" si="151"/>
        <v>0.57600000000000007</v>
      </c>
      <c r="P116" s="222">
        <f t="shared" si="182"/>
        <v>0.84200735294117612</v>
      </c>
      <c r="Q116" s="222">
        <f t="shared" si="183"/>
        <v>12</v>
      </c>
      <c r="R116" s="222"/>
      <c r="S116" s="177">
        <f t="shared" si="184"/>
        <v>356.16256290878641</v>
      </c>
      <c r="T116" s="177">
        <f t="shared" si="185"/>
        <v>12</v>
      </c>
      <c r="U116" s="222">
        <f t="shared" si="186"/>
        <v>0.23372717508055862</v>
      </c>
      <c r="V116" s="222">
        <f t="shared" si="187"/>
        <v>0.1817878028404345</v>
      </c>
      <c r="W116" s="222">
        <f t="shared" si="188"/>
        <v>0.13355838576031923</v>
      </c>
      <c r="X116" s="202">
        <f t="shared" si="189"/>
        <v>350</v>
      </c>
      <c r="Y116" s="452">
        <f t="shared" si="190"/>
        <v>350</v>
      </c>
      <c r="AA116" s="222">
        <f t="shared" si="191"/>
        <v>2.1176470588235294</v>
      </c>
      <c r="AB116" s="178">
        <f t="shared" si="192"/>
        <v>1.2100840336134453</v>
      </c>
      <c r="AC116" s="178">
        <f t="shared" si="193"/>
        <v>0.4484429065743944</v>
      </c>
      <c r="AD116" s="178"/>
      <c r="AE116" s="178">
        <f t="shared" si="194"/>
        <v>0.46857142857142853</v>
      </c>
      <c r="AF116" s="560">
        <f>MAX(12000,F116/(0.5*AE116/1000000*Isw_min*Nps))/1000</f>
        <v>249.85127900059496</v>
      </c>
      <c r="AG116" s="543">
        <f t="shared" si="195"/>
        <v>6.723999999999998E-2</v>
      </c>
      <c r="AI116" s="178">
        <f t="shared" si="196"/>
        <v>0.69282032302755092</v>
      </c>
      <c r="AJ116" s="178">
        <f t="shared" si="197"/>
        <v>0.82</v>
      </c>
      <c r="AK116" s="178">
        <f t="shared" si="198"/>
        <v>1.1427721594289113</v>
      </c>
      <c r="AM116" s="560">
        <f t="shared" si="199"/>
        <v>48</v>
      </c>
      <c r="AN116" s="470">
        <f t="shared" si="200"/>
        <v>249.85127900059496</v>
      </c>
      <c r="AP116" s="470">
        <f t="shared" si="201"/>
        <v>48</v>
      </c>
      <c r="AQ116" s="470">
        <f t="shared" si="202"/>
        <v>249.85127900059496</v>
      </c>
      <c r="AS116" s="6">
        <f t="shared" si="153"/>
        <v>4.0023809523809506</v>
      </c>
      <c r="AT116" s="6">
        <f t="shared" si="203"/>
        <v>0.63777777777777767</v>
      </c>
      <c r="AU116" s="6">
        <f t="shared" si="204"/>
        <v>3.364603174603173</v>
      </c>
      <c r="AV116" s="6"/>
      <c r="AW116" s="178">
        <f t="shared" si="205"/>
        <v>0.159349593495935</v>
      </c>
      <c r="AX116" s="178">
        <f t="shared" si="134"/>
        <v>0.58800000000000008</v>
      </c>
      <c r="AY116" s="178">
        <f t="shared" si="135"/>
        <v>0.34466666666666662</v>
      </c>
      <c r="AZ116" s="178">
        <f t="shared" si="156"/>
        <v>1.705996131528047</v>
      </c>
      <c r="BA116" s="470">
        <f>L*Isw_max^2/(2*Vout_ripple*Vout)*1000000000*((1+M116)/2)^2</f>
        <v>25.385458958093036</v>
      </c>
      <c r="BB116" s="470">
        <f>L*F116^2/(2*Cout*Vout*Nps^2)*1000000000*((1+M116)/(1-M116))^2+F116*RCoutEsr</f>
        <v>0.34209613869188338</v>
      </c>
      <c r="BC116" s="6">
        <f t="shared" si="206"/>
        <v>0.33580444939509257</v>
      </c>
      <c r="BD116" s="470">
        <f>((BY116/I116/Efficiency)*AU116/Cin+(BY116/I116/Efficiency)*RCinEsr)*1000</f>
        <v>22.868905597326638</v>
      </c>
      <c r="BF116" s="178">
        <f t="shared" si="157"/>
        <v>0.18898559615895483</v>
      </c>
      <c r="BG116" s="178">
        <f t="shared" si="137"/>
        <v>0.43407116672013324</v>
      </c>
      <c r="BI116" s="543">
        <f t="shared" si="207"/>
        <v>3.9287111111111122E-3</v>
      </c>
      <c r="BJ116" s="543">
        <f t="shared" si="208"/>
        <v>2.1768292682926838E-2</v>
      </c>
      <c r="BK116" s="543">
        <f t="shared" si="209"/>
        <v>1.2492563950029746E-2</v>
      </c>
      <c r="BL116" s="543">
        <f t="shared" si="210"/>
        <v>2.5385280339083886E-2</v>
      </c>
      <c r="BM116">
        <f t="shared" si="211"/>
        <v>2.6099999999999999E-3</v>
      </c>
      <c r="BN116" s="470">
        <f t="shared" si="212"/>
        <v>66.184848083151593</v>
      </c>
      <c r="BO116" s="543">
        <f t="shared" si="213"/>
        <v>1.9200000000000002E-2</v>
      </c>
      <c r="BR116" s="470">
        <f t="shared" si="214"/>
        <v>19.200000000000003</v>
      </c>
      <c r="BS116" s="543">
        <f t="shared" si="215"/>
        <v>1.4286222222222224E-3</v>
      </c>
      <c r="BT116" s="543">
        <f t="shared" si="216"/>
        <v>7.5367111111111088E-3</v>
      </c>
      <c r="BU116" s="543">
        <f t="shared" si="217"/>
        <v>0</v>
      </c>
      <c r="BV116" s="543">
        <f t="shared" si="218"/>
        <v>6.3000000000000018E-3</v>
      </c>
      <c r="BW116" s="470">
        <f t="shared" si="219"/>
        <v>15.265333333333334</v>
      </c>
      <c r="BX116" s="178">
        <f t="shared" si="220"/>
        <v>0.10065018141648491</v>
      </c>
      <c r="BY116" s="6">
        <f t="shared" si="221"/>
        <v>0.57600000000000007</v>
      </c>
      <c r="BZ116" s="178">
        <f t="shared" si="222"/>
        <v>0.85125226567473034</v>
      </c>
      <c r="CA116" s="6">
        <f t="shared" si="223"/>
        <v>85.125226567473035</v>
      </c>
      <c r="CD116" s="577">
        <f t="shared" si="224"/>
        <v>-50</v>
      </c>
      <c r="CE116">
        <f t="shared" si="225"/>
        <v>-50</v>
      </c>
    </row>
    <row r="117" spans="5:83" x14ac:dyDescent="0.2">
      <c r="E117" s="175">
        <v>7</v>
      </c>
      <c r="F117" s="222">
        <f t="shared" si="226"/>
        <v>5.6000000000000008E-2</v>
      </c>
      <c r="G117" s="222"/>
      <c r="H117" s="222">
        <f t="shared" si="177"/>
        <v>0.67200000000000015</v>
      </c>
      <c r="I117" s="556">
        <f t="shared" si="178"/>
        <v>9</v>
      </c>
      <c r="J117" s="452">
        <f t="shared" si="179"/>
        <v>12.25</v>
      </c>
      <c r="K117" s="452">
        <f t="shared" si="180"/>
        <v>21.25</v>
      </c>
      <c r="L117" s="452"/>
      <c r="M117" s="222">
        <f t="shared" si="181"/>
        <v>0.57647058823529407</v>
      </c>
      <c r="N117" s="177">
        <f t="shared" si="227"/>
        <v>10.104088235294114</v>
      </c>
      <c r="O117" s="177">
        <f t="shared" si="151"/>
        <v>0.67200000000000015</v>
      </c>
      <c r="P117" s="222">
        <f t="shared" si="182"/>
        <v>0.84200735294117612</v>
      </c>
      <c r="Q117" s="222">
        <f t="shared" si="183"/>
        <v>12</v>
      </c>
      <c r="R117" s="222"/>
      <c r="S117" s="177">
        <f t="shared" si="184"/>
        <v>303.99846670002307</v>
      </c>
      <c r="T117" s="177">
        <f t="shared" si="185"/>
        <v>12</v>
      </c>
      <c r="U117" s="222">
        <f t="shared" si="186"/>
        <v>0.27268170426065175</v>
      </c>
      <c r="V117" s="222">
        <f t="shared" si="187"/>
        <v>0.21208576998050693</v>
      </c>
      <c r="W117" s="222">
        <f t="shared" si="188"/>
        <v>0.15581811672037243</v>
      </c>
      <c r="X117" s="202">
        <f t="shared" si="189"/>
        <v>350</v>
      </c>
      <c r="Y117" s="452">
        <f t="shared" si="190"/>
        <v>350</v>
      </c>
      <c r="AA117" s="222">
        <f t="shared" si="191"/>
        <v>2.1176470588235294</v>
      </c>
      <c r="AB117" s="178">
        <f t="shared" si="192"/>
        <v>1.2100840336134453</v>
      </c>
      <c r="AC117" s="178">
        <f t="shared" si="193"/>
        <v>0.4484429065743944</v>
      </c>
      <c r="AD117" s="178"/>
      <c r="AE117" s="178">
        <f t="shared" si="194"/>
        <v>0.46857142857142853</v>
      </c>
      <c r="AF117" s="560">
        <f>MAX(12000,F117/(0.5*AE117/1000000*Isw_min*Nps))/1000</f>
        <v>291.4931588340275</v>
      </c>
      <c r="AG117" s="543">
        <f t="shared" si="195"/>
        <v>6.723999999999998E-2</v>
      </c>
      <c r="AI117" s="178">
        <f t="shared" si="196"/>
        <v>0.74833147735478833</v>
      </c>
      <c r="AJ117" s="178">
        <f t="shared" si="197"/>
        <v>0.82</v>
      </c>
      <c r="AK117" s="178">
        <f t="shared" si="198"/>
        <v>1.1665675193337299</v>
      </c>
      <c r="AM117" s="560">
        <f t="shared" si="199"/>
        <v>56.000000000000007</v>
      </c>
      <c r="AN117" s="470">
        <f t="shared" si="200"/>
        <v>291.4931588340275</v>
      </c>
      <c r="AP117" s="470">
        <f t="shared" si="201"/>
        <v>56.000000000000007</v>
      </c>
      <c r="AQ117" s="470">
        <f t="shared" si="202"/>
        <v>291.4931588340275</v>
      </c>
      <c r="AS117" s="6">
        <f t="shared" si="153"/>
        <v>3.4306122448979579</v>
      </c>
      <c r="AT117" s="6">
        <f t="shared" si="203"/>
        <v>0.63777777777777767</v>
      </c>
      <c r="AU117" s="6">
        <f t="shared" si="204"/>
        <v>2.7928344671201804</v>
      </c>
      <c r="AV117" s="6"/>
      <c r="AW117" s="178">
        <f t="shared" si="205"/>
        <v>0.18590785907859081</v>
      </c>
      <c r="AX117" s="178">
        <f t="shared" si="134"/>
        <v>0.68600000000000017</v>
      </c>
      <c r="AY117" s="178">
        <f t="shared" si="135"/>
        <v>0.33377777777777778</v>
      </c>
      <c r="AZ117" s="178">
        <f t="shared" si="156"/>
        <v>2.0552596537949404</v>
      </c>
      <c r="BA117" s="470">
        <f>L*Isw_max^2/(2*Vout_ripple*Vout)*1000000000*((1+M117)/2)^2</f>
        <v>25.385458958093036</v>
      </c>
      <c r="BB117" s="470">
        <f>L*F117^2/(2*Cout*Vout*Nps^2)*1000000000*((1+M117)/(1-M117))^2+F117*RCoutEsr</f>
        <v>0.43763085544173025</v>
      </c>
      <c r="BC117" s="6">
        <f t="shared" si="206"/>
        <v>0.32519554029105679</v>
      </c>
      <c r="BD117" s="470">
        <f>((BY117/I117/Efficiency)*AU117/Cin+(BY117/I117/Efficiency)*RCinEsr)*1000</f>
        <v>22.186488443330546</v>
      </c>
      <c r="BF117" s="178">
        <f t="shared" si="157"/>
        <v>0.20412777407336843</v>
      </c>
      <c r="BG117" s="178">
        <f t="shared" si="137"/>
        <v>0.42715943766371961</v>
      </c>
      <c r="BI117" s="543">
        <f t="shared" si="207"/>
        <v>4.5834962962962968E-3</v>
      </c>
      <c r="BJ117" s="543">
        <f t="shared" si="208"/>
        <v>2.5396341463414646E-2</v>
      </c>
      <c r="BK117" s="543">
        <f t="shared" si="209"/>
        <v>1.4574657941701374E-2</v>
      </c>
      <c r="BL117" s="543">
        <f t="shared" si="210"/>
        <v>2.9616160395597873E-2</v>
      </c>
      <c r="BM117">
        <f t="shared" si="211"/>
        <v>2.6099999999999999E-3</v>
      </c>
      <c r="BN117" s="470">
        <f t="shared" si="212"/>
        <v>76.780656097010194</v>
      </c>
      <c r="BO117" s="543">
        <f t="shared" si="213"/>
        <v>2.2400000000000003E-2</v>
      </c>
      <c r="BR117" s="470">
        <f t="shared" si="214"/>
        <v>22.400000000000002</v>
      </c>
      <c r="BS117" s="543">
        <f t="shared" si="215"/>
        <v>1.666725925925926E-3</v>
      </c>
      <c r="BT117" s="543">
        <f t="shared" si="216"/>
        <v>7.2986074074074059E-3</v>
      </c>
      <c r="BU117" s="543">
        <f t="shared" si="217"/>
        <v>0</v>
      </c>
      <c r="BV117" s="543">
        <f t="shared" si="218"/>
        <v>7.3500000000000024E-3</v>
      </c>
      <c r="BW117" s="470">
        <f t="shared" si="219"/>
        <v>16.315333333333335</v>
      </c>
      <c r="BX117" s="178">
        <f t="shared" si="220"/>
        <v>0.11549598943034353</v>
      </c>
      <c r="BY117" s="6">
        <f t="shared" si="221"/>
        <v>0.67200000000000015</v>
      </c>
      <c r="BZ117" s="178">
        <f t="shared" si="222"/>
        <v>0.85333767920025771</v>
      </c>
      <c r="CA117" s="6">
        <f t="shared" si="223"/>
        <v>85.333767920025778</v>
      </c>
      <c r="CD117" s="577">
        <f t="shared" si="224"/>
        <v>-50</v>
      </c>
      <c r="CE117">
        <f t="shared" si="225"/>
        <v>-50</v>
      </c>
    </row>
    <row r="118" spans="5:83" x14ac:dyDescent="0.2">
      <c r="E118" s="175">
        <v>8</v>
      </c>
      <c r="F118" s="222">
        <f t="shared" si="226"/>
        <v>6.4000000000000001E-2</v>
      </c>
      <c r="G118" s="222"/>
      <c r="H118" s="222">
        <f t="shared" si="177"/>
        <v>0.76800000000000002</v>
      </c>
      <c r="I118" s="556">
        <f t="shared" si="178"/>
        <v>9</v>
      </c>
      <c r="J118" s="452">
        <f t="shared" si="179"/>
        <v>12.25</v>
      </c>
      <c r="K118" s="452">
        <f t="shared" si="180"/>
        <v>21.25</v>
      </c>
      <c r="L118" s="452"/>
      <c r="M118" s="222">
        <f t="shared" si="181"/>
        <v>0.57647058823529407</v>
      </c>
      <c r="N118" s="177">
        <f t="shared" si="227"/>
        <v>10.104088235294114</v>
      </c>
      <c r="O118" s="177">
        <f t="shared" si="151"/>
        <v>0.76800000000000002</v>
      </c>
      <c r="P118" s="222">
        <f t="shared" si="182"/>
        <v>0.84200735294117612</v>
      </c>
      <c r="Q118" s="222">
        <f t="shared" si="183"/>
        <v>12</v>
      </c>
      <c r="R118" s="222"/>
      <c r="S118" s="177">
        <f t="shared" si="184"/>
        <v>264.87567404136621</v>
      </c>
      <c r="T118" s="177">
        <f t="shared" si="185"/>
        <v>12</v>
      </c>
      <c r="U118" s="222">
        <f t="shared" si="186"/>
        <v>0.31163623344074481</v>
      </c>
      <c r="V118" s="222">
        <f t="shared" si="187"/>
        <v>0.24238373712057931</v>
      </c>
      <c r="W118" s="222">
        <f t="shared" si="188"/>
        <v>0.17807784768042562</v>
      </c>
      <c r="X118" s="202">
        <f t="shared" si="189"/>
        <v>350</v>
      </c>
      <c r="Y118" s="452">
        <f t="shared" si="190"/>
        <v>350</v>
      </c>
      <c r="AA118" s="222">
        <f t="shared" si="191"/>
        <v>2.1176470588235294</v>
      </c>
      <c r="AB118" s="178">
        <f t="shared" si="192"/>
        <v>1.2100840336134453</v>
      </c>
      <c r="AC118" s="178">
        <f t="shared" si="193"/>
        <v>0.4484429065743944</v>
      </c>
      <c r="AD118" s="178"/>
      <c r="AE118" s="178">
        <f t="shared" si="194"/>
        <v>0.46857142857142853</v>
      </c>
      <c r="AF118" s="560">
        <f>MAX(12000,F118/(0.5*AE118/1000000*Isw_min*Nps))/1000</f>
        <v>333.13503866745992</v>
      </c>
      <c r="AG118" s="543">
        <f t="shared" si="195"/>
        <v>6.723999999999998E-2</v>
      </c>
      <c r="AI118" s="178">
        <f t="shared" si="196"/>
        <v>0.8</v>
      </c>
      <c r="AJ118" s="178">
        <f t="shared" si="197"/>
        <v>0.82</v>
      </c>
      <c r="AK118" s="178">
        <f t="shared" si="198"/>
        <v>1.1903628792385486</v>
      </c>
      <c r="AM118" s="560">
        <f t="shared" si="199"/>
        <v>64</v>
      </c>
      <c r="AN118" s="470">
        <f t="shared" si="200"/>
        <v>333.13503866745992</v>
      </c>
      <c r="AP118" s="470">
        <f t="shared" si="201"/>
        <v>64</v>
      </c>
      <c r="AQ118" s="470">
        <f t="shared" si="202"/>
        <v>333.13503866745992</v>
      </c>
      <c r="AS118" s="6">
        <f t="shared" si="153"/>
        <v>3.0017857142857136</v>
      </c>
      <c r="AT118" s="6">
        <f t="shared" si="203"/>
        <v>0.63777777777777767</v>
      </c>
      <c r="AU118" s="6">
        <f t="shared" si="204"/>
        <v>2.3640079365079361</v>
      </c>
      <c r="AV118" s="6"/>
      <c r="AW118" s="178">
        <f t="shared" si="205"/>
        <v>0.21246612466124662</v>
      </c>
      <c r="AX118" s="178">
        <f t="shared" si="134"/>
        <v>0.78400000000000003</v>
      </c>
      <c r="AY118" s="178">
        <f t="shared" si="135"/>
        <v>0.32288888888888889</v>
      </c>
      <c r="AZ118" s="178">
        <f t="shared" si="156"/>
        <v>2.428079834824501</v>
      </c>
      <c r="BA118" s="470">
        <f>L*Isw_max^2/(2*Vout_ripple*Vout)*1000000000*((1+M118)/2)^2</f>
        <v>25.385458958093036</v>
      </c>
      <c r="BB118" s="470">
        <f>L*F118^2/(2*Cout*Vout*Nps^2)*1000000000*((1+M118)/(1-M118))^2+F118*RCoutEsr</f>
        <v>0.54417091323001476</v>
      </c>
      <c r="BC118" s="6">
        <f t="shared" si="206"/>
        <v>0.31458663118702102</v>
      </c>
      <c r="BD118" s="470">
        <f>((BY118/I118/Efficiency)*AU118/Cin+(BY118/I118/Efficiency)*RCinEsr)*1000</f>
        <v>21.504071289334448</v>
      </c>
      <c r="BF118" s="178">
        <f t="shared" si="157"/>
        <v>0.21822176963066892</v>
      </c>
      <c r="BG118" s="178">
        <f t="shared" si="137"/>
        <v>0.42013401741895717</v>
      </c>
      <c r="BI118" s="543">
        <f t="shared" si="207"/>
        <v>5.2382814814814806E-3</v>
      </c>
      <c r="BJ118" s="543">
        <f t="shared" si="208"/>
        <v>2.9024390243902447E-2</v>
      </c>
      <c r="BK118" s="543">
        <f t="shared" si="209"/>
        <v>1.6656751933372998E-2</v>
      </c>
      <c r="BL118" s="543">
        <f t="shared" si="210"/>
        <v>3.3847040452111843E-2</v>
      </c>
      <c r="BM118">
        <f t="shared" si="211"/>
        <v>2.6099999999999999E-3</v>
      </c>
      <c r="BN118" s="470">
        <f t="shared" si="212"/>
        <v>87.376464110868767</v>
      </c>
      <c r="BO118" s="543">
        <f t="shared" si="213"/>
        <v>2.5600000000000001E-2</v>
      </c>
      <c r="BR118" s="470">
        <f t="shared" si="214"/>
        <v>25.6</v>
      </c>
      <c r="BS118" s="543">
        <f t="shared" si="215"/>
        <v>1.9048296296296295E-3</v>
      </c>
      <c r="BT118" s="543">
        <f t="shared" si="216"/>
        <v>7.0605037037037048E-3</v>
      </c>
      <c r="BU118" s="543">
        <f t="shared" si="217"/>
        <v>0</v>
      </c>
      <c r="BV118" s="543">
        <f t="shared" si="218"/>
        <v>8.4000000000000012E-3</v>
      </c>
      <c r="BW118" s="470">
        <f t="shared" si="219"/>
        <v>17.365333333333336</v>
      </c>
      <c r="BX118" s="178">
        <f t="shared" si="220"/>
        <v>0.1303417974442021</v>
      </c>
      <c r="BY118" s="6">
        <f t="shared" si="221"/>
        <v>0.76800000000000002</v>
      </c>
      <c r="BZ118" s="178">
        <f t="shared" si="222"/>
        <v>0.85490845709837093</v>
      </c>
      <c r="CA118" s="6">
        <f t="shared" si="223"/>
        <v>85.490845709837089</v>
      </c>
      <c r="CD118" s="577">
        <f t="shared" si="224"/>
        <v>-50</v>
      </c>
      <c r="CE118">
        <f t="shared" si="225"/>
        <v>-50</v>
      </c>
    </row>
    <row r="119" spans="5:83" x14ac:dyDescent="0.2">
      <c r="E119" s="175">
        <v>9</v>
      </c>
      <c r="F119" s="222">
        <f t="shared" si="226"/>
        <v>7.1999999999999995E-2</v>
      </c>
      <c r="G119" s="222"/>
      <c r="H119" s="222">
        <f t="shared" si="177"/>
        <v>0.86399999999999988</v>
      </c>
      <c r="I119" s="556">
        <f t="shared" si="178"/>
        <v>9</v>
      </c>
      <c r="J119" s="452">
        <f t="shared" si="179"/>
        <v>12.25</v>
      </c>
      <c r="K119" s="452">
        <f t="shared" si="180"/>
        <v>21.25</v>
      </c>
      <c r="L119" s="452"/>
      <c r="M119" s="222">
        <f t="shared" si="181"/>
        <v>0.57647058823529407</v>
      </c>
      <c r="N119" s="177">
        <f t="shared" si="227"/>
        <v>10.104088235294114</v>
      </c>
      <c r="O119" s="177">
        <f t="shared" si="151"/>
        <v>0.86399999999999988</v>
      </c>
      <c r="P119" s="222">
        <f t="shared" si="182"/>
        <v>0.84200735294117612</v>
      </c>
      <c r="Q119" s="222">
        <f t="shared" si="183"/>
        <v>12</v>
      </c>
      <c r="R119" s="222"/>
      <c r="S119" s="177">
        <f t="shared" si="184"/>
        <v>234.44708682542861</v>
      </c>
      <c r="T119" s="177">
        <f t="shared" si="185"/>
        <v>12</v>
      </c>
      <c r="U119" s="222">
        <f t="shared" si="186"/>
        <v>0.35059076262083783</v>
      </c>
      <c r="V119" s="222">
        <f t="shared" si="187"/>
        <v>0.27268170426065164</v>
      </c>
      <c r="W119" s="222">
        <f t="shared" si="188"/>
        <v>0.20033757864047877</v>
      </c>
      <c r="X119" s="202">
        <f t="shared" si="189"/>
        <v>350</v>
      </c>
      <c r="Y119" s="452">
        <f t="shared" si="190"/>
        <v>350</v>
      </c>
      <c r="AA119" s="222">
        <f t="shared" si="191"/>
        <v>2.1176470588235294</v>
      </c>
      <c r="AB119" s="178">
        <f t="shared" si="192"/>
        <v>1.2100840336134453</v>
      </c>
      <c r="AC119" s="178">
        <f t="shared" si="193"/>
        <v>0.4484429065743944</v>
      </c>
      <c r="AD119" s="178"/>
      <c r="AE119" s="178">
        <f t="shared" si="194"/>
        <v>0.46857142857142853</v>
      </c>
      <c r="AF119" s="560">
        <f>MAX(12000,F119/(0.5*AE119/1000000*Isw_min*Nps))/1000</f>
        <v>374.77691850089235</v>
      </c>
      <c r="AG119" s="543">
        <f t="shared" si="195"/>
        <v>6.723999999999998E-2</v>
      </c>
      <c r="AI119" s="178">
        <f t="shared" si="196"/>
        <v>0.84852813742385702</v>
      </c>
      <c r="AJ119" s="178">
        <f t="shared" si="197"/>
        <v>0.84852813742385702</v>
      </c>
      <c r="AK119" s="178">
        <f t="shared" si="198"/>
        <v>1.2211319536473015</v>
      </c>
      <c r="AM119" s="560">
        <f t="shared" si="199"/>
        <v>72</v>
      </c>
      <c r="AN119" s="470">
        <f t="shared" si="200"/>
        <v>350</v>
      </c>
      <c r="AP119" s="470">
        <f t="shared" si="201"/>
        <v>72</v>
      </c>
      <c r="AQ119" s="470">
        <f t="shared" si="202"/>
        <v>350</v>
      </c>
      <c r="AS119" s="6">
        <f t="shared" si="153"/>
        <v>2.8571428571428572</v>
      </c>
      <c r="AT119" s="6">
        <f t="shared" si="203"/>
        <v>0.65996632910744446</v>
      </c>
      <c r="AU119" s="6">
        <f t="shared" si="204"/>
        <v>2.1971765280354125</v>
      </c>
      <c r="AV119" s="6"/>
      <c r="AW119" s="178">
        <f t="shared" si="205"/>
        <v>0.23098821518760557</v>
      </c>
      <c r="AX119" s="178">
        <f t="shared" si="134"/>
        <v>0.88200000000000001</v>
      </c>
      <c r="AY119" s="178">
        <f t="shared" si="135"/>
        <v>0.32626406871192848</v>
      </c>
      <c r="AZ119" s="178">
        <f t="shared" si="156"/>
        <v>2.7033317014714018</v>
      </c>
      <c r="BA119" s="470">
        <f>L*Isw_max^2/(2*Vout_ripple*Vout)*1000000000*((1+M119)/2)^2</f>
        <v>25.385458958093036</v>
      </c>
      <c r="BB119" s="470">
        <f>L*F119^2/(2*Cout*Vout*Nps^2)*1000000000*((1+M119)/(1-M119))^2+F119*RCoutEsr</f>
        <v>0.66171631205673753</v>
      </c>
      <c r="BC119" s="6">
        <f t="shared" si="206"/>
        <v>0.3289340299281085</v>
      </c>
      <c r="BD119" s="470">
        <f>((BY119/I119/Efficiency)*AU119/Cin+(BY119/I119/Efficiency)*RCinEsr)*1000</f>
        <v>22.506204914884165</v>
      </c>
      <c r="BF119" s="178">
        <f t="shared" si="157"/>
        <v>0.23545099627104008</v>
      </c>
      <c r="BG119" s="178">
        <f t="shared" si="137"/>
        <v>0.42960776105067588</v>
      </c>
      <c r="BI119" s="543">
        <f t="shared" si="207"/>
        <v>6.0980888809527862E-3</v>
      </c>
      <c r="BJ119" s="543">
        <f t="shared" si="208"/>
        <v>3.1554640110449686E-2</v>
      </c>
      <c r="BK119" s="543">
        <f t="shared" si="209"/>
        <v>1.7499999999999998E-2</v>
      </c>
      <c r="BL119" s="543">
        <f t="shared" si="210"/>
        <v>3.5560546875000001E-2</v>
      </c>
      <c r="BM119">
        <f t="shared" si="211"/>
        <v>2.6099999999999999E-3</v>
      </c>
      <c r="BN119" s="470">
        <f t="shared" si="212"/>
        <v>93.323275866402469</v>
      </c>
      <c r="BO119" s="543">
        <f t="shared" si="213"/>
        <v>2.8799999999999999E-2</v>
      </c>
      <c r="BR119" s="470">
        <f t="shared" si="214"/>
        <v>28.8</v>
      </c>
      <c r="BS119" s="543">
        <f t="shared" si="215"/>
        <v>2.2174868658010132E-3</v>
      </c>
      <c r="BT119" s="543">
        <f t="shared" si="216"/>
        <v>7.3825131341989847E-3</v>
      </c>
      <c r="BU119" s="543">
        <f t="shared" si="217"/>
        <v>0</v>
      </c>
      <c r="BV119" s="543">
        <f t="shared" si="218"/>
        <v>9.4500000000000018E-3</v>
      </c>
      <c r="BW119" s="470">
        <f t="shared" si="219"/>
        <v>19.049999999999997</v>
      </c>
      <c r="BX119" s="178">
        <f t="shared" si="220"/>
        <v>0.14117327586640249</v>
      </c>
      <c r="BY119" s="6">
        <f t="shared" si="221"/>
        <v>0.86399999999999988</v>
      </c>
      <c r="BZ119" s="178">
        <f t="shared" si="222"/>
        <v>0.85955329368986755</v>
      </c>
      <c r="CA119" s="6">
        <f t="shared" si="223"/>
        <v>85.955329368986753</v>
      </c>
      <c r="CD119" s="577">
        <f t="shared" si="224"/>
        <v>-50</v>
      </c>
      <c r="CE119">
        <f t="shared" si="225"/>
        <v>-50</v>
      </c>
    </row>
    <row r="120" spans="5:83" x14ac:dyDescent="0.2">
      <c r="E120" s="175">
        <v>10</v>
      </c>
      <c r="F120" s="222">
        <f t="shared" si="226"/>
        <v>8.0000000000000016E-2</v>
      </c>
      <c r="G120" s="222"/>
      <c r="H120" s="222">
        <f t="shared" si="177"/>
        <v>0.96000000000000019</v>
      </c>
      <c r="I120" s="556">
        <f t="shared" si="178"/>
        <v>9</v>
      </c>
      <c r="J120" s="452">
        <f t="shared" si="179"/>
        <v>12.25</v>
      </c>
      <c r="K120" s="452">
        <f t="shared" si="180"/>
        <v>21.25</v>
      </c>
      <c r="L120" s="452"/>
      <c r="M120" s="222">
        <f t="shared" si="181"/>
        <v>0.57647058823529407</v>
      </c>
      <c r="N120" s="177">
        <f t="shared" si="227"/>
        <v>10.104088235294114</v>
      </c>
      <c r="O120" s="177">
        <f t="shared" si="151"/>
        <v>0.96000000000000019</v>
      </c>
      <c r="P120" s="222">
        <f t="shared" si="182"/>
        <v>0.84200735294117612</v>
      </c>
      <c r="Q120" s="222">
        <f t="shared" si="183"/>
        <v>12</v>
      </c>
      <c r="R120" s="222"/>
      <c r="S120" s="177">
        <f t="shared" si="184"/>
        <v>210.10444623219425</v>
      </c>
      <c r="T120" s="177">
        <f t="shared" si="185"/>
        <v>12</v>
      </c>
      <c r="U120" s="222">
        <f t="shared" si="186"/>
        <v>0.38954529180093106</v>
      </c>
      <c r="V120" s="222">
        <f t="shared" si="187"/>
        <v>0.30297967140072413</v>
      </c>
      <c r="W120" s="222">
        <f t="shared" si="188"/>
        <v>0.22259730960053201</v>
      </c>
      <c r="X120" s="202">
        <f t="shared" si="189"/>
        <v>350</v>
      </c>
      <c r="Y120" s="452">
        <f t="shared" si="190"/>
        <v>350</v>
      </c>
      <c r="AA120" s="222">
        <f t="shared" si="191"/>
        <v>2.1176470588235294</v>
      </c>
      <c r="AB120" s="178">
        <f t="shared" si="192"/>
        <v>1.2100840336134453</v>
      </c>
      <c r="AC120" s="178">
        <f t="shared" si="193"/>
        <v>0.4484429065743944</v>
      </c>
      <c r="AD120" s="178"/>
      <c r="AE120" s="178">
        <f t="shared" si="194"/>
        <v>0.46857142857142853</v>
      </c>
      <c r="AF120" s="560">
        <f>MAX(12000,F120/(0.5*AE120/1000000*Isw_min*Nps))/1000</f>
        <v>416.41879833432495</v>
      </c>
      <c r="AG120" s="543">
        <f t="shared" si="195"/>
        <v>6.723999999999998E-2</v>
      </c>
      <c r="AI120" s="178">
        <f t="shared" si="196"/>
        <v>0.89442719099991608</v>
      </c>
      <c r="AJ120" s="178">
        <f t="shared" si="197"/>
        <v>0.89442719099991608</v>
      </c>
      <c r="AK120" s="178">
        <f t="shared" si="198"/>
        <v>1.2551312525925304</v>
      </c>
      <c r="AM120" s="560">
        <f t="shared" si="199"/>
        <v>80.000000000000014</v>
      </c>
      <c r="AN120" s="470">
        <f t="shared" si="200"/>
        <v>350</v>
      </c>
      <c r="AP120" s="470">
        <f t="shared" si="201"/>
        <v>80.000000000000014</v>
      </c>
      <c r="AQ120" s="470">
        <f t="shared" si="202"/>
        <v>350</v>
      </c>
      <c r="AS120" s="6">
        <f t="shared" si="153"/>
        <v>2.8571428571428572</v>
      </c>
      <c r="AT120" s="6">
        <f t="shared" si="203"/>
        <v>0.6956655929999348</v>
      </c>
      <c r="AU120" s="6">
        <f t="shared" si="204"/>
        <v>2.1614772641429223</v>
      </c>
      <c r="AV120" s="6"/>
      <c r="AW120" s="178">
        <f t="shared" si="205"/>
        <v>0.24348295754997717</v>
      </c>
      <c r="AX120" s="178">
        <f t="shared" si="134"/>
        <v>0.98000000000000043</v>
      </c>
      <c r="AY120" s="178">
        <f t="shared" si="135"/>
        <v>0.33832470661106911</v>
      </c>
      <c r="AZ120" s="178">
        <f t="shared" si="156"/>
        <v>2.8966255814317088</v>
      </c>
      <c r="BA120" s="470">
        <f>L*Isw_max^2/(2*Vout_ripple*Vout)*1000000000*((1+M120)/2)^2</f>
        <v>25.385458958093036</v>
      </c>
      <c r="BB120" s="470">
        <f>L*F120^2/(2*Cout*Vout*Nps^2)*1000000000*((1+M120)/(1-M120))^2+F120*RCoutEsr</f>
        <v>0.79026705192189839</v>
      </c>
      <c r="BC120" s="6">
        <f t="shared" si="206"/>
        <v>0.35954397636165575</v>
      </c>
      <c r="BD120" s="470">
        <f>((BY120/I120/Efficiency)*AU120/Cin+(BY120/I120/Efficiency)*RCinEsr)*1000</f>
        <v>24.606060509674926</v>
      </c>
      <c r="BF120" s="178">
        <f t="shared" si="157"/>
        <v>0.25481128051951296</v>
      </c>
      <c r="BG120" s="178">
        <f t="shared" si="137"/>
        <v>0.44915239951120473</v>
      </c>
      <c r="BI120" s="543">
        <f t="shared" si="207"/>
        <v>7.1421667547993317E-3</v>
      </c>
      <c r="BJ120" s="543">
        <f t="shared" si="208"/>
        <v>3.3261511165309378E-2</v>
      </c>
      <c r="BK120" s="543">
        <f t="shared" si="209"/>
        <v>1.7499999999999998E-2</v>
      </c>
      <c r="BL120" s="543">
        <f t="shared" si="210"/>
        <v>3.5560546875000001E-2</v>
      </c>
      <c r="BM120">
        <f t="shared" si="211"/>
        <v>2.6099999999999999E-3</v>
      </c>
      <c r="BN120" s="470">
        <f t="shared" si="212"/>
        <v>96.074224795108719</v>
      </c>
      <c r="BO120" s="543">
        <f t="shared" si="213"/>
        <v>3.2000000000000008E-2</v>
      </c>
      <c r="BR120" s="470">
        <f t="shared" si="214"/>
        <v>32.000000000000007</v>
      </c>
      <c r="BS120" s="543">
        <f t="shared" si="215"/>
        <v>2.5971515471997571E-3</v>
      </c>
      <c r="BT120" s="543">
        <f t="shared" si="216"/>
        <v>8.0695151194669149E-3</v>
      </c>
      <c r="BU120" s="543">
        <f t="shared" si="217"/>
        <v>0</v>
      </c>
      <c r="BV120" s="543">
        <f t="shared" si="218"/>
        <v>1.0500000000000006E-2</v>
      </c>
      <c r="BW120" s="470">
        <f t="shared" si="219"/>
        <v>21.166666666666679</v>
      </c>
      <c r="BX120" s="178">
        <f t="shared" si="220"/>
        <v>0.14924089146177538</v>
      </c>
      <c r="BY120" s="6">
        <f t="shared" si="221"/>
        <v>0.96000000000000019</v>
      </c>
      <c r="BZ120" s="178">
        <f t="shared" si="222"/>
        <v>0.86545673477191842</v>
      </c>
      <c r="CA120" s="6">
        <f t="shared" si="223"/>
        <v>86.545673477191841</v>
      </c>
      <c r="CD120" s="577">
        <f t="shared" si="224"/>
        <v>-50</v>
      </c>
      <c r="CE120">
        <f t="shared" si="225"/>
        <v>-50</v>
      </c>
    </row>
    <row r="121" spans="5:83" x14ac:dyDescent="0.2">
      <c r="E121" s="175">
        <v>11</v>
      </c>
      <c r="F121" s="222">
        <f t="shared" si="226"/>
        <v>8.8000000000000009E-2</v>
      </c>
      <c r="G121" s="222"/>
      <c r="H121" s="222">
        <f t="shared" si="177"/>
        <v>1.056</v>
      </c>
      <c r="I121" s="556">
        <f t="shared" si="178"/>
        <v>9</v>
      </c>
      <c r="J121" s="452">
        <f t="shared" si="179"/>
        <v>12.25</v>
      </c>
      <c r="K121" s="452">
        <f t="shared" si="180"/>
        <v>21.25</v>
      </c>
      <c r="L121" s="452"/>
      <c r="M121" s="222">
        <f t="shared" si="181"/>
        <v>0.57647058823529407</v>
      </c>
      <c r="N121" s="177">
        <f t="shared" si="227"/>
        <v>10.104088235294114</v>
      </c>
      <c r="O121" s="177">
        <f t="shared" si="151"/>
        <v>1.056</v>
      </c>
      <c r="P121" s="222">
        <f t="shared" si="182"/>
        <v>0.84200735294117612</v>
      </c>
      <c r="Q121" s="222">
        <f t="shared" si="183"/>
        <v>12</v>
      </c>
      <c r="R121" s="222"/>
      <c r="S121" s="177">
        <f t="shared" si="184"/>
        <v>190.18795123554293</v>
      </c>
      <c r="T121" s="177">
        <f t="shared" si="185"/>
        <v>12</v>
      </c>
      <c r="U121" s="222">
        <f t="shared" si="186"/>
        <v>0.42849982098102407</v>
      </c>
      <c r="V121" s="222">
        <f t="shared" si="187"/>
        <v>0.33327763854079651</v>
      </c>
      <c r="W121" s="222">
        <f t="shared" si="188"/>
        <v>0.24485704056058519</v>
      </c>
      <c r="X121" s="202">
        <f t="shared" si="189"/>
        <v>350</v>
      </c>
      <c r="Y121" s="452">
        <f t="shared" si="190"/>
        <v>350</v>
      </c>
      <c r="AA121" s="222">
        <f t="shared" si="191"/>
        <v>2.1176470588235294</v>
      </c>
      <c r="AB121" s="178">
        <f t="shared" si="192"/>
        <v>1.2100840336134453</v>
      </c>
      <c r="AC121" s="178">
        <f t="shared" si="193"/>
        <v>0.4484429065743944</v>
      </c>
      <c r="AD121" s="178"/>
      <c r="AE121" s="178">
        <f t="shared" si="194"/>
        <v>0.46857142857142853</v>
      </c>
      <c r="AF121" s="560">
        <f>MAX(12000,F121/(0.5*AE121/1000000*Isw_min*Nps))/1000</f>
        <v>458.06067816775743</v>
      </c>
      <c r="AG121" s="543">
        <f t="shared" si="195"/>
        <v>6.723999999999998E-2</v>
      </c>
      <c r="AI121" s="178">
        <f t="shared" si="196"/>
        <v>0.93808315196468595</v>
      </c>
      <c r="AJ121" s="178">
        <f t="shared" si="197"/>
        <v>0.93808315196468595</v>
      </c>
      <c r="AK121" s="178">
        <f t="shared" si="198"/>
        <v>1.2874690014553229</v>
      </c>
      <c r="AM121" s="560">
        <f t="shared" si="199"/>
        <v>88.000000000000014</v>
      </c>
      <c r="AN121" s="470">
        <f t="shared" si="200"/>
        <v>350</v>
      </c>
      <c r="AP121" s="470">
        <f t="shared" si="201"/>
        <v>88.000000000000014</v>
      </c>
      <c r="AQ121" s="470">
        <f t="shared" si="202"/>
        <v>350</v>
      </c>
      <c r="AS121" s="6">
        <f t="shared" si="153"/>
        <v>2.8571428571428572</v>
      </c>
      <c r="AT121" s="6">
        <f t="shared" si="203"/>
        <v>0.72962022930586679</v>
      </c>
      <c r="AU121" s="6">
        <f t="shared" si="204"/>
        <v>2.1275226278369903</v>
      </c>
      <c r="AV121" s="6"/>
      <c r="AW121" s="178">
        <f t="shared" si="205"/>
        <v>0.25536708025705335</v>
      </c>
      <c r="AX121" s="178">
        <f t="shared" si="134"/>
        <v>1.0780000000000001</v>
      </c>
      <c r="AY121" s="178">
        <f t="shared" si="135"/>
        <v>0.34926379820456521</v>
      </c>
      <c r="AZ121" s="178">
        <f t="shared" si="156"/>
        <v>3.0864922317789465</v>
      </c>
      <c r="BA121" s="470">
        <f>L*Isw_max^2/(2*Vout_ripple*Vout)*1000000000*((1+M121)/2)^2</f>
        <v>25.385458958093036</v>
      </c>
      <c r="BB121" s="470">
        <f>L*F121^2/(2*Cout*Vout*Nps^2)*1000000000*((1+M121)/(1-M121))^2+F121*RCoutEsr</f>
        <v>0.929823132825497</v>
      </c>
      <c r="BC121" s="6">
        <f t="shared" si="206"/>
        <v>0.3892854918771258</v>
      </c>
      <c r="BD121" s="470">
        <f>((BY121/I121/Efficiency)*AU121/Cin+(BY121/I121/Efficiency)*RCinEsr)*1000</f>
        <v>26.647297017495468</v>
      </c>
      <c r="BF121" s="178">
        <f t="shared" si="157"/>
        <v>0.27369266865482955</v>
      </c>
      <c r="BG121" s="178">
        <f t="shared" si="137"/>
        <v>0.46736030689172892</v>
      </c>
      <c r="BI121" s="543">
        <f t="shared" si="207"/>
        <v>8.2398444562942538E-3</v>
      </c>
      <c r="BJ121" s="543">
        <f t="shared" si="208"/>
        <v>3.4884967213686759E-2</v>
      </c>
      <c r="BK121" s="543">
        <f t="shared" si="209"/>
        <v>1.7499999999999998E-2</v>
      </c>
      <c r="BL121" s="543">
        <f t="shared" si="210"/>
        <v>3.5560546875000001E-2</v>
      </c>
      <c r="BM121">
        <f t="shared" si="211"/>
        <v>2.6099999999999999E-3</v>
      </c>
      <c r="BN121" s="470">
        <f t="shared" si="212"/>
        <v>98.795358544981013</v>
      </c>
      <c r="BO121" s="543">
        <f t="shared" si="213"/>
        <v>3.5200000000000002E-2</v>
      </c>
      <c r="BR121" s="470">
        <f t="shared" si="214"/>
        <v>35.200000000000003</v>
      </c>
      <c r="BS121" s="543">
        <f t="shared" si="215"/>
        <v>2.9963070750160924E-3</v>
      </c>
      <c r="BT121" s="543">
        <f t="shared" si="216"/>
        <v>8.737026258317241E-3</v>
      </c>
      <c r="BU121" s="543">
        <f t="shared" si="217"/>
        <v>0</v>
      </c>
      <c r="BV121" s="543">
        <f t="shared" si="218"/>
        <v>1.1550000000000005E-2</v>
      </c>
      <c r="BW121" s="470">
        <f t="shared" si="219"/>
        <v>23.283333333333335</v>
      </c>
      <c r="BX121" s="178">
        <f t="shared" si="220"/>
        <v>0.15727869187831434</v>
      </c>
      <c r="BY121" s="6">
        <f t="shared" si="221"/>
        <v>1.056</v>
      </c>
      <c r="BZ121" s="178">
        <f t="shared" si="222"/>
        <v>0.87036886666588831</v>
      </c>
      <c r="CA121" s="6">
        <f t="shared" si="223"/>
        <v>87.036886666588828</v>
      </c>
      <c r="CD121" s="577">
        <f t="shared" si="224"/>
        <v>-50</v>
      </c>
      <c r="CE121">
        <f t="shared" si="225"/>
        <v>-50</v>
      </c>
    </row>
    <row r="122" spans="5:83" x14ac:dyDescent="0.2">
      <c r="E122" s="175">
        <v>12</v>
      </c>
      <c r="F122" s="222">
        <f t="shared" si="226"/>
        <v>9.6000000000000002E-2</v>
      </c>
      <c r="G122" s="222"/>
      <c r="H122" s="222">
        <f t="shared" si="177"/>
        <v>1.1520000000000001</v>
      </c>
      <c r="I122" s="556">
        <f t="shared" si="178"/>
        <v>9</v>
      </c>
      <c r="J122" s="452">
        <f t="shared" si="179"/>
        <v>12.25</v>
      </c>
      <c r="K122" s="452">
        <f t="shared" si="180"/>
        <v>21.25</v>
      </c>
      <c r="L122" s="452"/>
      <c r="M122" s="222">
        <f t="shared" si="181"/>
        <v>0.57647058823529407</v>
      </c>
      <c r="N122" s="177">
        <f t="shared" si="227"/>
        <v>10.104088235294114</v>
      </c>
      <c r="O122" s="177">
        <f t="shared" si="151"/>
        <v>1.1520000000000001</v>
      </c>
      <c r="P122" s="222">
        <f t="shared" si="182"/>
        <v>0.84200735294117612</v>
      </c>
      <c r="Q122" s="222">
        <f t="shared" si="183"/>
        <v>12</v>
      </c>
      <c r="R122" s="222"/>
      <c r="S122" s="177">
        <f t="shared" si="184"/>
        <v>173.5910678565283</v>
      </c>
      <c r="T122" s="177">
        <f t="shared" si="185"/>
        <v>12</v>
      </c>
      <c r="U122" s="222">
        <f t="shared" si="186"/>
        <v>0.46745435016111725</v>
      </c>
      <c r="V122" s="222">
        <f t="shared" si="187"/>
        <v>0.363575605680869</v>
      </c>
      <c r="W122" s="222">
        <f t="shared" si="188"/>
        <v>0.26711677152063845</v>
      </c>
      <c r="X122" s="202">
        <f t="shared" si="189"/>
        <v>350</v>
      </c>
      <c r="Y122" s="452">
        <f t="shared" si="190"/>
        <v>350</v>
      </c>
      <c r="AA122" s="222">
        <f t="shared" si="191"/>
        <v>2.1176470588235294</v>
      </c>
      <c r="AB122" s="178">
        <f t="shared" si="192"/>
        <v>1.2100840336134453</v>
      </c>
      <c r="AC122" s="178">
        <f t="shared" si="193"/>
        <v>0.4484429065743944</v>
      </c>
      <c r="AD122" s="178"/>
      <c r="AE122" s="178">
        <f t="shared" si="194"/>
        <v>0.46857142857142853</v>
      </c>
      <c r="AF122" s="560">
        <f>MAX(12000,F122/(0.5*AE122/1000000*Isw_min*Nps))/1000</f>
        <v>499.70255800118991</v>
      </c>
      <c r="AG122" s="543">
        <f t="shared" si="195"/>
        <v>6.723999999999998E-2</v>
      </c>
      <c r="AI122" s="178">
        <f t="shared" si="196"/>
        <v>0.97979589711327131</v>
      </c>
      <c r="AJ122" s="178">
        <f t="shared" si="197"/>
        <v>0.97979589711327131</v>
      </c>
      <c r="AK122" s="178">
        <f t="shared" si="198"/>
        <v>1.3183673311950157</v>
      </c>
      <c r="AM122" s="560">
        <f t="shared" si="199"/>
        <v>96</v>
      </c>
      <c r="AN122" s="470">
        <f t="shared" si="200"/>
        <v>350</v>
      </c>
      <c r="AP122" s="470">
        <f t="shared" si="201"/>
        <v>96</v>
      </c>
      <c r="AQ122" s="470">
        <f t="shared" si="202"/>
        <v>350</v>
      </c>
      <c r="AS122" s="6">
        <f t="shared" si="153"/>
        <v>2.8571428571428572</v>
      </c>
      <c r="AT122" s="6">
        <f t="shared" si="203"/>
        <v>0.76206347553254439</v>
      </c>
      <c r="AU122" s="6">
        <f t="shared" si="204"/>
        <v>2.0950793816103128</v>
      </c>
      <c r="AV122" s="6"/>
      <c r="AW122" s="178">
        <f t="shared" si="205"/>
        <v>0.26672221643639055</v>
      </c>
      <c r="AX122" s="178">
        <f t="shared" si="134"/>
        <v>1.1760000000000002</v>
      </c>
      <c r="AY122" s="178">
        <f t="shared" si="135"/>
        <v>0.359231281889969</v>
      </c>
      <c r="AZ122" s="178">
        <f t="shared" si="156"/>
        <v>3.2736569983908135</v>
      </c>
      <c r="BA122" s="470">
        <f>L*Isw_max^2/(2*Vout_ripple*Vout)*1000000000*((1+M122)/2)^2</f>
        <v>25.385458958093036</v>
      </c>
      <c r="BB122" s="470">
        <f>L*F122^2/(2*Cout*Vout*Nps^2)*1000000000*((1+M122)/(1-M122))^2+F122*RCoutEsr</f>
        <v>1.0803845547675335</v>
      </c>
      <c r="BC122" s="6">
        <f t="shared" si="206"/>
        <v>0.41819908124151273</v>
      </c>
      <c r="BD122" s="470">
        <f>((BY122/I122/Efficiency)*AU122/Cin+(BY122/I122/Efficiency)*RCinEsr)*1000</f>
        <v>28.632648510117896</v>
      </c>
      <c r="BF122" s="178">
        <f t="shared" si="157"/>
        <v>0.29214912161368034</v>
      </c>
      <c r="BG122" s="178">
        <f t="shared" si="137"/>
        <v>0.4844057088230434</v>
      </c>
      <c r="BI122" s="543">
        <f t="shared" si="207"/>
        <v>9.3886220185609472E-3</v>
      </c>
      <c r="BJ122" s="543">
        <f t="shared" si="208"/>
        <v>3.6436159923899779E-2</v>
      </c>
      <c r="BK122" s="543">
        <f t="shared" si="209"/>
        <v>1.7499999999999998E-2</v>
      </c>
      <c r="BL122" s="543">
        <f t="shared" si="210"/>
        <v>3.5560546875000001E-2</v>
      </c>
      <c r="BM122">
        <f t="shared" si="211"/>
        <v>2.6099999999999999E-3</v>
      </c>
      <c r="BN122" s="470">
        <f t="shared" si="212"/>
        <v>101.49532881746073</v>
      </c>
      <c r="BO122" s="543">
        <f t="shared" si="213"/>
        <v>3.8400000000000004E-2</v>
      </c>
      <c r="BR122" s="470">
        <f t="shared" si="214"/>
        <v>38.400000000000006</v>
      </c>
      <c r="BS122" s="543">
        <f t="shared" si="215"/>
        <v>3.4140443703857995E-3</v>
      </c>
      <c r="BT122" s="543">
        <f t="shared" si="216"/>
        <v>9.3859556296142042E-3</v>
      </c>
      <c r="BU122" s="543">
        <f t="shared" si="217"/>
        <v>0</v>
      </c>
      <c r="BV122" s="543">
        <f t="shared" si="218"/>
        <v>1.2600000000000005E-2</v>
      </c>
      <c r="BW122" s="470">
        <f t="shared" si="219"/>
        <v>25.400000000000009</v>
      </c>
      <c r="BX122" s="178">
        <f t="shared" si="220"/>
        <v>0.16529532881746076</v>
      </c>
      <c r="BY122" s="6">
        <f t="shared" si="221"/>
        <v>1.1520000000000001</v>
      </c>
      <c r="BZ122" s="178">
        <f t="shared" si="222"/>
        <v>0.87451915663752733</v>
      </c>
      <c r="CA122" s="6">
        <f t="shared" si="223"/>
        <v>87.451915663752729</v>
      </c>
      <c r="CD122" s="577">
        <f t="shared" si="224"/>
        <v>-50</v>
      </c>
      <c r="CE122">
        <f t="shared" si="225"/>
        <v>-50</v>
      </c>
    </row>
    <row r="123" spans="5:83" x14ac:dyDescent="0.2">
      <c r="E123" s="175">
        <v>13</v>
      </c>
      <c r="F123" s="222">
        <f t="shared" si="226"/>
        <v>0.10400000000000001</v>
      </c>
      <c r="G123" s="222"/>
      <c r="H123" s="222">
        <f t="shared" si="177"/>
        <v>1.2480000000000002</v>
      </c>
      <c r="I123" s="556">
        <f t="shared" si="178"/>
        <v>9</v>
      </c>
      <c r="J123" s="452">
        <f t="shared" si="179"/>
        <v>12.25</v>
      </c>
      <c r="K123" s="452">
        <f t="shared" si="180"/>
        <v>21.25</v>
      </c>
      <c r="L123" s="452"/>
      <c r="M123" s="222">
        <f t="shared" si="181"/>
        <v>0.57647058823529407</v>
      </c>
      <c r="N123" s="177">
        <f t="shared" si="227"/>
        <v>10.104088235294114</v>
      </c>
      <c r="O123" s="177">
        <f t="shared" si="151"/>
        <v>1.2480000000000002</v>
      </c>
      <c r="P123" s="222">
        <f t="shared" si="182"/>
        <v>0.84200735294117612</v>
      </c>
      <c r="Q123" s="222">
        <f t="shared" si="183"/>
        <v>12</v>
      </c>
      <c r="R123" s="222"/>
      <c r="S123" s="177">
        <f t="shared" si="184"/>
        <v>159.54773414592793</v>
      </c>
      <c r="T123" s="177">
        <f t="shared" si="185"/>
        <v>12</v>
      </c>
      <c r="U123" s="222">
        <f t="shared" si="186"/>
        <v>0.50640887934121037</v>
      </c>
      <c r="V123" s="222">
        <f t="shared" si="187"/>
        <v>0.39387357282094138</v>
      </c>
      <c r="W123" s="222">
        <f t="shared" si="188"/>
        <v>0.28937650248069158</v>
      </c>
      <c r="X123" s="202">
        <f t="shared" si="189"/>
        <v>350</v>
      </c>
      <c r="Y123" s="452">
        <f t="shared" si="190"/>
        <v>350</v>
      </c>
      <c r="AA123" s="222">
        <f t="shared" si="191"/>
        <v>2.1176470588235294</v>
      </c>
      <c r="AB123" s="178">
        <f t="shared" si="192"/>
        <v>1.2100840336134453</v>
      </c>
      <c r="AC123" s="178">
        <f t="shared" si="193"/>
        <v>0.4484429065743944</v>
      </c>
      <c r="AD123" s="178"/>
      <c r="AE123" s="178">
        <f t="shared" si="194"/>
        <v>0.46857142857142853</v>
      </c>
      <c r="AF123" s="560">
        <f>MAX(12000,F123/(0.5*AE123/1000000*Isw_min*Nps))/1000</f>
        <v>541.34443783462245</v>
      </c>
      <c r="AG123" s="543">
        <f t="shared" si="195"/>
        <v>6.723999999999998E-2</v>
      </c>
      <c r="AI123" s="178">
        <f t="shared" si="196"/>
        <v>1.019803902718557</v>
      </c>
      <c r="AJ123" s="178">
        <f t="shared" si="197"/>
        <v>1.019803902718557</v>
      </c>
      <c r="AK123" s="178">
        <f t="shared" si="198"/>
        <v>1.3480028909026349</v>
      </c>
      <c r="AM123" s="560">
        <f t="shared" si="199"/>
        <v>104.00000000000001</v>
      </c>
      <c r="AN123" s="470">
        <f t="shared" si="200"/>
        <v>350</v>
      </c>
      <c r="AP123" s="470">
        <f t="shared" si="201"/>
        <v>104.00000000000001</v>
      </c>
      <c r="AQ123" s="470">
        <f t="shared" si="202"/>
        <v>350</v>
      </c>
      <c r="AS123" s="6">
        <f t="shared" si="153"/>
        <v>2.8571428571428572</v>
      </c>
      <c r="AT123" s="6">
        <f t="shared" si="203"/>
        <v>0.79318081322554423</v>
      </c>
      <c r="AU123" s="6">
        <f t="shared" si="204"/>
        <v>2.063962043917313</v>
      </c>
      <c r="AV123" s="6"/>
      <c r="AW123" s="178">
        <f t="shared" si="205"/>
        <v>0.27761328462894047</v>
      </c>
      <c r="AX123" s="178">
        <f t="shared" si="134"/>
        <v>1.274</v>
      </c>
      <c r="AY123" s="178">
        <f t="shared" si="135"/>
        <v>0.36834639580372291</v>
      </c>
      <c r="AZ123" s="178">
        <f t="shared" si="156"/>
        <v>3.4587008710107314</v>
      </c>
      <c r="BA123" s="470">
        <f>L*Isw_max^2/(2*Vout_ripple*Vout)*1000000000*((1+M123)/2)^2</f>
        <v>25.385458958093036</v>
      </c>
      <c r="BB123" s="470">
        <f>L*F123^2/(2*Cout*Vout*Nps^2)*1000000000*((1+M123)/(1-M123))^2+F123*RCoutEsr</f>
        <v>1.2419513177480082</v>
      </c>
      <c r="BC123" s="6">
        <f t="shared" si="206"/>
        <v>0.44632005732013114</v>
      </c>
      <c r="BD123" s="470">
        <f>((BY123/I123/Efficiency)*AU123/Cin+(BY123/I123/Efficiency)*RCinEsr)*1000</f>
        <v>30.564498605950966</v>
      </c>
      <c r="BF123" s="178">
        <f t="shared" si="157"/>
        <v>0.31022455093802515</v>
      </c>
      <c r="BG123" s="178">
        <f t="shared" si="137"/>
        <v>0.50042721215174468</v>
      </c>
      <c r="BI123" s="543">
        <f t="shared" si="207"/>
        <v>1.0586319920516929E-2</v>
      </c>
      <c r="BJ123" s="543">
        <f t="shared" si="208"/>
        <v>3.7923957632346336E-2</v>
      </c>
      <c r="BK123" s="543">
        <f t="shared" si="209"/>
        <v>1.7499999999999998E-2</v>
      </c>
      <c r="BL123" s="543">
        <f t="shared" si="210"/>
        <v>3.5560546875000001E-2</v>
      </c>
      <c r="BM123">
        <f t="shared" si="211"/>
        <v>2.6099999999999999E-3</v>
      </c>
      <c r="BN123" s="470">
        <f t="shared" si="212"/>
        <v>104.18082442786326</v>
      </c>
      <c r="BO123" s="543">
        <f t="shared" si="213"/>
        <v>4.1600000000000005E-2</v>
      </c>
      <c r="BR123" s="470">
        <f t="shared" si="214"/>
        <v>41.600000000000009</v>
      </c>
      <c r="BS123" s="543">
        <f t="shared" si="215"/>
        <v>3.8495708801879742E-3</v>
      </c>
      <c r="BT123" s="543">
        <f t="shared" si="216"/>
        <v>1.0017095786478691E-2</v>
      </c>
      <c r="BU123" s="543">
        <f t="shared" si="217"/>
        <v>0</v>
      </c>
      <c r="BV123" s="543">
        <f t="shared" si="218"/>
        <v>1.3650000000000001E-2</v>
      </c>
      <c r="BW123" s="470">
        <f t="shared" si="219"/>
        <v>27.516666666666669</v>
      </c>
      <c r="BX123" s="178">
        <f t="shared" si="220"/>
        <v>0.17329749109452994</v>
      </c>
      <c r="BY123" s="6">
        <f t="shared" si="221"/>
        <v>1.2480000000000002</v>
      </c>
      <c r="BZ123" s="178">
        <f t="shared" si="222"/>
        <v>0.87807092309642021</v>
      </c>
      <c r="CA123" s="6">
        <f t="shared" si="223"/>
        <v>87.807092309642016</v>
      </c>
      <c r="CD123" s="577">
        <f t="shared" si="224"/>
        <v>-50</v>
      </c>
      <c r="CE123">
        <f t="shared" si="225"/>
        <v>-50</v>
      </c>
    </row>
    <row r="124" spans="5:83" x14ac:dyDescent="0.2">
      <c r="E124" s="175">
        <v>14</v>
      </c>
      <c r="F124" s="222">
        <f t="shared" si="226"/>
        <v>0.11200000000000002</v>
      </c>
      <c r="G124" s="222"/>
      <c r="H124" s="222">
        <f t="shared" si="177"/>
        <v>1.3440000000000003</v>
      </c>
      <c r="I124" s="556">
        <f t="shared" si="178"/>
        <v>9</v>
      </c>
      <c r="J124" s="452">
        <f t="shared" si="179"/>
        <v>12.25</v>
      </c>
      <c r="K124" s="452">
        <f t="shared" si="180"/>
        <v>21.25</v>
      </c>
      <c r="L124" s="452"/>
      <c r="M124" s="222">
        <f t="shared" si="181"/>
        <v>0.57647058823529407</v>
      </c>
      <c r="N124" s="177">
        <f t="shared" si="227"/>
        <v>10.104088235294114</v>
      </c>
      <c r="O124" s="177">
        <f t="shared" si="151"/>
        <v>1.3440000000000003</v>
      </c>
      <c r="P124" s="222">
        <f t="shared" si="182"/>
        <v>0.84200735294117612</v>
      </c>
      <c r="Q124" s="222">
        <f t="shared" si="183"/>
        <v>12</v>
      </c>
      <c r="R124" s="222"/>
      <c r="S124" s="177">
        <f t="shared" si="184"/>
        <v>147.51076303142887</v>
      </c>
      <c r="T124" s="177">
        <f t="shared" si="185"/>
        <v>12</v>
      </c>
      <c r="U124" s="222">
        <f t="shared" si="186"/>
        <v>0.54536340852130349</v>
      </c>
      <c r="V124" s="222">
        <f t="shared" si="187"/>
        <v>0.42417153996101387</v>
      </c>
      <c r="W124" s="222">
        <f t="shared" si="188"/>
        <v>0.31163623344074487</v>
      </c>
      <c r="X124" s="202">
        <f t="shared" si="189"/>
        <v>350</v>
      </c>
      <c r="Y124" s="452">
        <f t="shared" si="190"/>
        <v>350</v>
      </c>
      <c r="AA124" s="222">
        <f t="shared" si="191"/>
        <v>2.1176470588235294</v>
      </c>
      <c r="AB124" s="178">
        <f t="shared" si="192"/>
        <v>1.2100840336134453</v>
      </c>
      <c r="AC124" s="178">
        <f t="shared" si="193"/>
        <v>0.4484429065743944</v>
      </c>
      <c r="AD124" s="178"/>
      <c r="AE124" s="178">
        <f t="shared" si="194"/>
        <v>0.46857142857142853</v>
      </c>
      <c r="AF124" s="560">
        <f>MAX(12000,F124/(0.5*AE124/1000000*Isw_min*Nps))/1000</f>
        <v>582.98631766805499</v>
      </c>
      <c r="AG124" s="543">
        <f t="shared" si="195"/>
        <v>6.723999999999998E-2</v>
      </c>
      <c r="AI124" s="178">
        <f t="shared" si="196"/>
        <v>1.0583005244258363</v>
      </c>
      <c r="AJ124" s="178">
        <f t="shared" si="197"/>
        <v>1.0583005244258363</v>
      </c>
      <c r="AK124" s="178">
        <f t="shared" si="198"/>
        <v>1.3765189069821009</v>
      </c>
      <c r="AM124" s="560">
        <f t="shared" si="199"/>
        <v>112.00000000000001</v>
      </c>
      <c r="AN124" s="470">
        <f t="shared" si="200"/>
        <v>350</v>
      </c>
      <c r="AP124" s="470">
        <f t="shared" si="201"/>
        <v>112.00000000000001</v>
      </c>
      <c r="AQ124" s="470">
        <f t="shared" si="202"/>
        <v>350</v>
      </c>
      <c r="AS124" s="6">
        <f t="shared" si="153"/>
        <v>2.8571428571428572</v>
      </c>
      <c r="AT124" s="6">
        <f t="shared" si="203"/>
        <v>0.8231226301089839</v>
      </c>
      <c r="AU124" s="6">
        <f t="shared" si="204"/>
        <v>2.0340202270338734</v>
      </c>
      <c r="AV124" s="6"/>
      <c r="AW124" s="178">
        <f t="shared" si="205"/>
        <v>0.28809292053814434</v>
      </c>
      <c r="AX124" s="178">
        <f t="shared" si="134"/>
        <v>1.3720000000000001</v>
      </c>
      <c r="AY124" s="178">
        <f t="shared" si="135"/>
        <v>0.37670581776847367</v>
      </c>
      <c r="AZ124" s="178">
        <f t="shared" si="156"/>
        <v>3.6420993127407497</v>
      </c>
      <c r="BA124" s="470">
        <f>L*Isw_max^2/(2*Vout_ripple*Vout)*1000000000*((1+M124)/2)^2</f>
        <v>25.385458958093036</v>
      </c>
      <c r="BB124" s="470">
        <f>L*F124^2/(2*Cout*Vout*Nps^2)*1000000000*((1+M124)/(1-M124))^2+F124*RCoutEsr</f>
        <v>1.4145234217669209</v>
      </c>
      <c r="BC124" s="6">
        <f t="shared" si="206"/>
        <v>0.47367956424232643</v>
      </c>
      <c r="BD124" s="470">
        <f>((BY124/I124/Efficiency)*AU124/Cin+(BY124/I124/Efficiency)*RCinEsr)*1000</f>
        <v>32.444949533725463</v>
      </c>
      <c r="BF124" s="178">
        <f t="shared" si="157"/>
        <v>0.32795531758799185</v>
      </c>
      <c r="BG124" s="178">
        <f t="shared" si="137"/>
        <v>0.51553723725749701</v>
      </c>
      <c r="BI124" s="543">
        <f t="shared" si="207"/>
        <v>1.1831015936766465E-2</v>
      </c>
      <c r="BJ124" s="543">
        <f t="shared" si="208"/>
        <v>3.9355550752085786E-2</v>
      </c>
      <c r="BK124" s="543">
        <f t="shared" si="209"/>
        <v>1.7499999999999998E-2</v>
      </c>
      <c r="BL124" s="543">
        <f t="shared" si="210"/>
        <v>3.5560546875000001E-2</v>
      </c>
      <c r="BM124">
        <f t="shared" si="211"/>
        <v>2.6099999999999999E-3</v>
      </c>
      <c r="BN124" s="470">
        <f t="shared" si="212"/>
        <v>106.85711356385225</v>
      </c>
      <c r="BO124" s="543">
        <f t="shared" si="213"/>
        <v>4.4800000000000006E-2</v>
      </c>
      <c r="BR124" s="470">
        <f t="shared" si="214"/>
        <v>44.800000000000004</v>
      </c>
      <c r="BS124" s="543">
        <f t="shared" si="215"/>
        <v>4.302187613369624E-3</v>
      </c>
      <c r="BT124" s="543">
        <f t="shared" si="216"/>
        <v>1.063114571996371E-2</v>
      </c>
      <c r="BU124" s="543">
        <f t="shared" si="217"/>
        <v>0</v>
      </c>
      <c r="BV124" s="543">
        <f t="shared" si="218"/>
        <v>1.4700000000000005E-2</v>
      </c>
      <c r="BW124" s="470">
        <f t="shared" si="219"/>
        <v>29.633333333333336</v>
      </c>
      <c r="BX124" s="178">
        <f t="shared" si="220"/>
        <v>0.1812904468971856</v>
      </c>
      <c r="BY124" s="6">
        <f t="shared" si="221"/>
        <v>1.3440000000000003</v>
      </c>
      <c r="BZ124" s="178">
        <f t="shared" si="222"/>
        <v>0.88114365544872142</v>
      </c>
      <c r="CA124" s="6">
        <f t="shared" si="223"/>
        <v>88.114365544872143</v>
      </c>
      <c r="CD124" s="577">
        <f t="shared" si="224"/>
        <v>-50</v>
      </c>
      <c r="CE124">
        <f t="shared" si="225"/>
        <v>-50</v>
      </c>
    </row>
    <row r="125" spans="5:83" x14ac:dyDescent="0.2">
      <c r="E125" s="175">
        <v>15</v>
      </c>
      <c r="F125" s="222">
        <f t="shared" si="226"/>
        <v>0.12</v>
      </c>
      <c r="G125" s="222"/>
      <c r="H125" s="222">
        <f t="shared" si="177"/>
        <v>1.44</v>
      </c>
      <c r="I125" s="556">
        <f t="shared" si="178"/>
        <v>9</v>
      </c>
      <c r="J125" s="452">
        <f t="shared" si="179"/>
        <v>12.25</v>
      </c>
      <c r="K125" s="452">
        <f t="shared" si="180"/>
        <v>21.25</v>
      </c>
      <c r="L125" s="452"/>
      <c r="M125" s="222">
        <f t="shared" si="181"/>
        <v>0.57647058823529407</v>
      </c>
      <c r="N125" s="177">
        <f t="shared" si="227"/>
        <v>10.104088235294114</v>
      </c>
      <c r="O125" s="177">
        <f t="shared" si="151"/>
        <v>1.44</v>
      </c>
      <c r="P125" s="222">
        <f t="shared" si="182"/>
        <v>0.84200735294117612</v>
      </c>
      <c r="Q125" s="222">
        <f t="shared" si="183"/>
        <v>12</v>
      </c>
      <c r="R125" s="222"/>
      <c r="S125" s="177">
        <f t="shared" si="184"/>
        <v>137.07888402595316</v>
      </c>
      <c r="T125" s="177">
        <f t="shared" si="185"/>
        <v>12</v>
      </c>
      <c r="U125" s="222">
        <f t="shared" si="186"/>
        <v>0.58431793770139639</v>
      </c>
      <c r="V125" s="222">
        <f t="shared" si="187"/>
        <v>0.45446950710108613</v>
      </c>
      <c r="W125" s="222">
        <f t="shared" si="188"/>
        <v>0.33389596440079794</v>
      </c>
      <c r="X125" s="202">
        <f t="shared" si="189"/>
        <v>350</v>
      </c>
      <c r="Y125" s="452">
        <f t="shared" si="190"/>
        <v>350</v>
      </c>
      <c r="AA125" s="222">
        <f t="shared" si="191"/>
        <v>2.1176470588235294</v>
      </c>
      <c r="AB125" s="178">
        <f t="shared" si="192"/>
        <v>1.2100840336134453</v>
      </c>
      <c r="AC125" s="178">
        <f t="shared" si="193"/>
        <v>0.4484429065743944</v>
      </c>
      <c r="AD125" s="178"/>
      <c r="AE125" s="178">
        <f t="shared" si="194"/>
        <v>0.46857142857142853</v>
      </c>
      <c r="AF125" s="560">
        <f>MAX(12000,F125/(0.5*AE125/1000000*Isw_min*Nps))/1000</f>
        <v>624.62819750148731</v>
      </c>
      <c r="AG125" s="543">
        <f t="shared" si="195"/>
        <v>6.723999999999998E-2</v>
      </c>
      <c r="AI125" s="178">
        <f t="shared" si="196"/>
        <v>1.0954451150103321</v>
      </c>
      <c r="AJ125" s="178">
        <f t="shared" si="197"/>
        <v>1.0954451150103321</v>
      </c>
      <c r="AK125" s="178">
        <f t="shared" si="198"/>
        <v>1.404033418526172</v>
      </c>
      <c r="AM125" s="560">
        <f t="shared" si="199"/>
        <v>120</v>
      </c>
      <c r="AN125" s="470">
        <f t="shared" si="200"/>
        <v>350</v>
      </c>
      <c r="AP125" s="470">
        <f t="shared" si="201"/>
        <v>120</v>
      </c>
      <c r="AQ125" s="470">
        <f t="shared" si="202"/>
        <v>350</v>
      </c>
      <c r="AS125" s="6">
        <f t="shared" si="153"/>
        <v>2.8571428571428572</v>
      </c>
      <c r="AT125" s="6">
        <f t="shared" si="203"/>
        <v>0.85201286723025837</v>
      </c>
      <c r="AU125" s="6">
        <f t="shared" si="204"/>
        <v>2.0051299899125987</v>
      </c>
      <c r="AV125" s="6"/>
      <c r="AW125" s="178">
        <f t="shared" si="205"/>
        <v>0.29820450353059041</v>
      </c>
      <c r="AX125" s="178">
        <f t="shared" si="134"/>
        <v>1.4699999999999995</v>
      </c>
      <c r="AY125" s="178">
        <f t="shared" si="135"/>
        <v>0.38438922417183274</v>
      </c>
      <c r="AZ125" s="178">
        <f t="shared" si="156"/>
        <v>3.824248723847858</v>
      </c>
      <c r="BA125" s="470">
        <f>L*Isw_max^2/(2*Vout_ripple*Vout)*1000000000*((1+M125)/2)^2</f>
        <v>25.385458958093036</v>
      </c>
      <c r="BB125" s="470">
        <f>L*F125^2/(2*Cout*Vout*Nps^2)*1000000000*((1+M125)/(1-M125))^2+F125*RCoutEsr</f>
        <v>1.5981008668242707</v>
      </c>
      <c r="BC125" s="6">
        <f t="shared" si="206"/>
        <v>0.50030533861366977</v>
      </c>
      <c r="BD125" s="470">
        <f>((BY125/I125/Efficiency)*AU125/Cin+(BY125/I125/Efficiency)*RCinEsr)*1000</f>
        <v>34.275873514317453</v>
      </c>
      <c r="BF125" s="178">
        <f t="shared" si="157"/>
        <v>0.34537197542973308</v>
      </c>
      <c r="BG125" s="178">
        <f t="shared" si="137"/>
        <v>0.52982846147386586</v>
      </c>
      <c r="BI125" s="543">
        <f t="shared" si="207"/>
        <v>1.3120998155345977E-2</v>
      </c>
      <c r="BJ125" s="543">
        <f t="shared" si="208"/>
        <v>4.0736865214446728E-2</v>
      </c>
      <c r="BK125" s="543">
        <f t="shared" si="209"/>
        <v>1.7499999999999998E-2</v>
      </c>
      <c r="BL125" s="543">
        <f t="shared" si="210"/>
        <v>3.5560546875000001E-2</v>
      </c>
      <c r="BM125">
        <f t="shared" si="211"/>
        <v>2.6099999999999999E-3</v>
      </c>
      <c r="BN125" s="470">
        <f t="shared" si="212"/>
        <v>109.52841024479271</v>
      </c>
      <c r="BO125" s="543">
        <f t="shared" si="213"/>
        <v>4.8000000000000001E-2</v>
      </c>
      <c r="BR125" s="470">
        <f t="shared" si="214"/>
        <v>48</v>
      </c>
      <c r="BS125" s="543">
        <f t="shared" si="215"/>
        <v>4.7712720564894459E-3</v>
      </c>
      <c r="BT125" s="543">
        <f t="shared" si="216"/>
        <v>1.122872794351055E-2</v>
      </c>
      <c r="BU125" s="543">
        <f t="shared" si="217"/>
        <v>0</v>
      </c>
      <c r="BV125" s="543">
        <f t="shared" si="218"/>
        <v>1.5749999999999997E-2</v>
      </c>
      <c r="BW125" s="470">
        <f t="shared" si="219"/>
        <v>31.749999999999993</v>
      </c>
      <c r="BX125" s="178">
        <f t="shared" si="220"/>
        <v>0.18927841024479267</v>
      </c>
      <c r="BY125" s="6">
        <f t="shared" si="221"/>
        <v>1.44</v>
      </c>
      <c r="BZ125" s="178">
        <f t="shared" si="222"/>
        <v>0.88382684686998692</v>
      </c>
      <c r="CA125" s="6">
        <f t="shared" si="223"/>
        <v>88.382684686998687</v>
      </c>
      <c r="CD125" s="577">
        <f t="shared" si="224"/>
        <v>-50</v>
      </c>
      <c r="CE125">
        <f t="shared" si="225"/>
        <v>-50</v>
      </c>
    </row>
    <row r="126" spans="5:83" x14ac:dyDescent="0.2">
      <c r="E126" s="175">
        <v>16</v>
      </c>
      <c r="F126" s="222">
        <f t="shared" si="226"/>
        <v>0.128</v>
      </c>
      <c r="G126" s="222"/>
      <c r="H126" s="222">
        <f t="shared" si="177"/>
        <v>1.536</v>
      </c>
      <c r="I126" s="556">
        <f t="shared" si="178"/>
        <v>9</v>
      </c>
      <c r="J126" s="452">
        <f t="shared" si="179"/>
        <v>12.25</v>
      </c>
      <c r="K126" s="452">
        <f t="shared" si="180"/>
        <v>21.25</v>
      </c>
      <c r="L126" s="452"/>
      <c r="M126" s="222">
        <f t="shared" si="181"/>
        <v>0.57647058823529407</v>
      </c>
      <c r="N126" s="177">
        <f t="shared" si="227"/>
        <v>10.104088235294114</v>
      </c>
      <c r="O126" s="177">
        <f t="shared" si="151"/>
        <v>1.536</v>
      </c>
      <c r="P126" s="222">
        <f t="shared" si="182"/>
        <v>0.84200735294117612</v>
      </c>
      <c r="Q126" s="222">
        <f t="shared" si="183"/>
        <v>12</v>
      </c>
      <c r="R126" s="222"/>
      <c r="S126" s="177">
        <f t="shared" si="184"/>
        <v>127.95114429537436</v>
      </c>
      <c r="T126" s="177">
        <f t="shared" si="185"/>
        <v>12</v>
      </c>
      <c r="U126" s="222">
        <f t="shared" si="186"/>
        <v>0.62327246688148963</v>
      </c>
      <c r="V126" s="222">
        <f t="shared" si="187"/>
        <v>0.48476747424115862</v>
      </c>
      <c r="W126" s="222">
        <f t="shared" si="188"/>
        <v>0.35615569536085123</v>
      </c>
      <c r="X126" s="202">
        <f t="shared" si="189"/>
        <v>350</v>
      </c>
      <c r="Y126" s="452">
        <f t="shared" si="190"/>
        <v>350</v>
      </c>
      <c r="AA126" s="222">
        <f t="shared" si="191"/>
        <v>2.1176470588235294</v>
      </c>
      <c r="AB126" s="178">
        <f t="shared" si="192"/>
        <v>1.2100840336134453</v>
      </c>
      <c r="AC126" s="178">
        <f t="shared" si="193"/>
        <v>0.4484429065743944</v>
      </c>
      <c r="AD126" s="178"/>
      <c r="AE126" s="178">
        <f t="shared" si="194"/>
        <v>0.46857142857142853</v>
      </c>
      <c r="AF126" s="560">
        <f>MAX(12000,F126/(0.5*AE126/1000000*Isw_min*Nps))/1000</f>
        <v>666.27007733491985</v>
      </c>
      <c r="AG126" s="543">
        <f t="shared" si="195"/>
        <v>6.723999999999998E-2</v>
      </c>
      <c r="AI126" s="178">
        <f t="shared" si="196"/>
        <v>1.131370849898476</v>
      </c>
      <c r="AJ126" s="178">
        <f t="shared" si="197"/>
        <v>1.131370849898476</v>
      </c>
      <c r="AK126" s="178">
        <f t="shared" si="198"/>
        <v>1.4306450739988712</v>
      </c>
      <c r="AM126" s="560">
        <f t="shared" si="199"/>
        <v>128</v>
      </c>
      <c r="AN126" s="470">
        <f t="shared" si="200"/>
        <v>350</v>
      </c>
      <c r="AP126" s="470">
        <f t="shared" si="201"/>
        <v>128</v>
      </c>
      <c r="AQ126" s="470">
        <f t="shared" si="202"/>
        <v>350</v>
      </c>
      <c r="AS126" s="6">
        <f t="shared" si="153"/>
        <v>2.8571428571428572</v>
      </c>
      <c r="AT126" s="6">
        <f t="shared" si="203"/>
        <v>0.87995510547659239</v>
      </c>
      <c r="AU126" s="6">
        <f t="shared" si="204"/>
        <v>1.9771877516662648</v>
      </c>
      <c r="AV126" s="6"/>
      <c r="AW126" s="178">
        <f t="shared" si="205"/>
        <v>0.30798428691680735</v>
      </c>
      <c r="AX126" s="178">
        <f t="shared" si="134"/>
        <v>1.5680000000000001</v>
      </c>
      <c r="AY126" s="178">
        <f t="shared" si="135"/>
        <v>0.39146320272701579</v>
      </c>
      <c r="AZ126" s="178">
        <f t="shared" si="156"/>
        <v>4.0054850342943578</v>
      </c>
      <c r="BA126" s="470">
        <f>L*Isw_max^2/(2*Vout_ripple*Vout)*1000000000*((1+M126)/2)^2</f>
        <v>25.385458958093036</v>
      </c>
      <c r="BB126" s="470">
        <f>L*F126^2/(2*Cout*Vout*Nps^2)*1000000000*((1+M126)/(1-M126))^2+F126*RCoutEsr</f>
        <v>1.7926836529200592</v>
      </c>
      <c r="BC126" s="6">
        <f t="shared" si="206"/>
        <v>0.52622228920240555</v>
      </c>
      <c r="BD126" s="470">
        <f>((BY126/I126/Efficiency)*AU126/Cin+(BY126/I126/Efficiency)*RCinEsr)*1000</f>
        <v>36.058951889583426</v>
      </c>
      <c r="BF126" s="178">
        <f t="shared" si="157"/>
        <v>0.36250052287480145</v>
      </c>
      <c r="BG126" s="178">
        <f t="shared" si="137"/>
        <v>0.54337835582783589</v>
      </c>
      <c r="BI126" s="543">
        <f t="shared" si="207"/>
        <v>1.4454729199295491E-2</v>
      </c>
      <c r="BJ126" s="543">
        <f t="shared" si="208"/>
        <v>4.2072853480599581E-2</v>
      </c>
      <c r="BK126" s="543">
        <f t="shared" si="209"/>
        <v>1.7499999999999998E-2</v>
      </c>
      <c r="BL126" s="543">
        <f t="shared" si="210"/>
        <v>3.5560546875000001E-2</v>
      </c>
      <c r="BM126">
        <f t="shared" si="211"/>
        <v>2.6099999999999999E-3</v>
      </c>
      <c r="BN126" s="470">
        <f t="shared" si="212"/>
        <v>112.19812955489506</v>
      </c>
      <c r="BO126" s="543">
        <f t="shared" si="213"/>
        <v>5.1200000000000002E-2</v>
      </c>
      <c r="BR126" s="470">
        <f t="shared" si="214"/>
        <v>51.2</v>
      </c>
      <c r="BS126" s="543">
        <f t="shared" si="215"/>
        <v>5.2562651633801787E-3</v>
      </c>
      <c r="BT126" s="543">
        <f t="shared" si="216"/>
        <v>1.181040150328649E-2</v>
      </c>
      <c r="BU126" s="543">
        <f t="shared" si="217"/>
        <v>0</v>
      </c>
      <c r="BV126" s="543">
        <f t="shared" si="218"/>
        <v>1.6800000000000002E-2</v>
      </c>
      <c r="BW126" s="470">
        <f t="shared" si="219"/>
        <v>33.866666666666667</v>
      </c>
      <c r="BX126" s="178">
        <f t="shared" si="220"/>
        <v>0.19726479622156176</v>
      </c>
      <c r="BY126" s="6">
        <f t="shared" si="221"/>
        <v>1.536</v>
      </c>
      <c r="BZ126" s="178">
        <f t="shared" si="222"/>
        <v>0.88618888663083106</v>
      </c>
      <c r="CA126" s="6">
        <f t="shared" si="223"/>
        <v>88.618888663083112</v>
      </c>
      <c r="CD126" s="577">
        <f t="shared" si="224"/>
        <v>-50</v>
      </c>
      <c r="CE126">
        <f t="shared" si="225"/>
        <v>-50</v>
      </c>
    </row>
    <row r="127" spans="5:83" x14ac:dyDescent="0.2">
      <c r="E127" s="175">
        <v>17</v>
      </c>
      <c r="F127" s="222">
        <f t="shared" si="226"/>
        <v>0.13600000000000001</v>
      </c>
      <c r="G127" s="222"/>
      <c r="H127" s="222">
        <f t="shared" si="177"/>
        <v>1.6320000000000001</v>
      </c>
      <c r="I127" s="556">
        <f t="shared" si="178"/>
        <v>9</v>
      </c>
      <c r="J127" s="452">
        <f t="shared" si="179"/>
        <v>12.25</v>
      </c>
      <c r="K127" s="452">
        <f t="shared" si="180"/>
        <v>21.25</v>
      </c>
      <c r="L127" s="452"/>
      <c r="M127" s="222">
        <f t="shared" si="181"/>
        <v>0.57647058823529407</v>
      </c>
      <c r="N127" s="177">
        <f t="shared" si="227"/>
        <v>10.104088235294114</v>
      </c>
      <c r="O127" s="177">
        <f t="shared" si="151"/>
        <v>1.6320000000000001</v>
      </c>
      <c r="P127" s="222">
        <f t="shared" si="182"/>
        <v>0.84200735294117612</v>
      </c>
      <c r="Q127" s="222">
        <f t="shared" si="183"/>
        <v>12</v>
      </c>
      <c r="R127" s="222"/>
      <c r="S127" s="177">
        <f t="shared" si="184"/>
        <v>119.89740346705315</v>
      </c>
      <c r="T127" s="177">
        <f t="shared" si="185"/>
        <v>12</v>
      </c>
      <c r="U127" s="222">
        <f t="shared" si="186"/>
        <v>0.66222699606158275</v>
      </c>
      <c r="V127" s="222">
        <f t="shared" si="187"/>
        <v>0.515065441381231</v>
      </c>
      <c r="W127" s="222">
        <f t="shared" si="188"/>
        <v>0.37841542632090441</v>
      </c>
      <c r="X127" s="202">
        <f t="shared" si="189"/>
        <v>350</v>
      </c>
      <c r="Y127" s="452">
        <f t="shared" si="190"/>
        <v>350</v>
      </c>
      <c r="AA127" s="222">
        <f t="shared" si="191"/>
        <v>2.1176470588235294</v>
      </c>
      <c r="AB127" s="178">
        <f t="shared" si="192"/>
        <v>1.2100840336134453</v>
      </c>
      <c r="AC127" s="178">
        <f t="shared" si="193"/>
        <v>0.4484429065743944</v>
      </c>
      <c r="AD127" s="178"/>
      <c r="AE127" s="178">
        <f t="shared" si="194"/>
        <v>0.46857142857142853</v>
      </c>
      <c r="AF127" s="560">
        <f>MAX(12000,F127/(0.5*AE127/1000000*Isw_min*Nps))/1000</f>
        <v>707.91195716835227</v>
      </c>
      <c r="AG127" s="543">
        <f t="shared" si="195"/>
        <v>6.723999999999998E-2</v>
      </c>
      <c r="AI127" s="178">
        <f t="shared" si="196"/>
        <v>1.1661903789690602</v>
      </c>
      <c r="AJ127" s="178">
        <f t="shared" si="197"/>
        <v>1.1661903789690602</v>
      </c>
      <c r="AK127" s="178">
        <f t="shared" si="198"/>
        <v>1.4564373177548595</v>
      </c>
      <c r="AM127" s="560">
        <f t="shared" si="199"/>
        <v>136</v>
      </c>
      <c r="AN127" s="470">
        <f t="shared" si="200"/>
        <v>350</v>
      </c>
      <c r="AP127" s="470">
        <f t="shared" si="201"/>
        <v>136</v>
      </c>
      <c r="AQ127" s="470">
        <f t="shared" si="202"/>
        <v>350</v>
      </c>
      <c r="AS127" s="6">
        <f t="shared" si="153"/>
        <v>2.8571428571428572</v>
      </c>
      <c r="AT127" s="6">
        <f t="shared" si="203"/>
        <v>0.90703696142038015</v>
      </c>
      <c r="AU127" s="6">
        <f t="shared" si="204"/>
        <v>1.9501058957224771</v>
      </c>
      <c r="AV127" s="6"/>
      <c r="AW127" s="178">
        <f t="shared" si="205"/>
        <v>0.31746293649713303</v>
      </c>
      <c r="AX127" s="178">
        <f t="shared" si="134"/>
        <v>1.6660000000000004</v>
      </c>
      <c r="AY127" s="178">
        <f t="shared" si="135"/>
        <v>0.39798407837341893</v>
      </c>
      <c r="AZ127" s="178">
        <f t="shared" si="156"/>
        <v>4.1860971092336827</v>
      </c>
      <c r="BA127" s="470">
        <f>L*Isw_max^2/(2*Vout_ripple*Vout)*1000000000*((1+M127)/2)^2</f>
        <v>25.385458958093036</v>
      </c>
      <c r="BB127" s="470">
        <f>L*F127^2/(2*Cout*Vout*Nps^2)*1000000000*((1+M127)/(1-M127))^2+F127*RCoutEsr</f>
        <v>1.998271780054286</v>
      </c>
      <c r="BC127" s="6">
        <f t="shared" si="206"/>
        <v>0.5514529472504367</v>
      </c>
      <c r="BD127" s="470">
        <f>((BY127/I127/Efficiency)*AU127/Cin+(BY127/I127/Efficiency)*RCinEsr)*1000</f>
        <v>37.795705518351845</v>
      </c>
      <c r="BF127" s="178">
        <f t="shared" si="157"/>
        <v>0.37936332349349966</v>
      </c>
      <c r="BG127" s="178">
        <f t="shared" si="137"/>
        <v>0.55625246257549255</v>
      </c>
      <c r="BI127" s="543">
        <f t="shared" si="207"/>
        <v>1.5830818433323707E-2</v>
      </c>
      <c r="BJ127" s="543">
        <f t="shared" si="208"/>
        <v>4.3367704717911917E-2</v>
      </c>
      <c r="BK127" s="543">
        <f t="shared" si="209"/>
        <v>1.7499999999999998E-2</v>
      </c>
      <c r="BL127" s="543">
        <f t="shared" si="210"/>
        <v>3.5560546875000001E-2</v>
      </c>
      <c r="BM127">
        <f t="shared" si="211"/>
        <v>2.6099999999999999E-3</v>
      </c>
      <c r="BN127" s="470">
        <f t="shared" si="212"/>
        <v>114.86907002623563</v>
      </c>
      <c r="BO127" s="543">
        <f t="shared" si="213"/>
        <v>5.4400000000000004E-2</v>
      </c>
      <c r="BR127" s="470">
        <f t="shared" si="214"/>
        <v>54.400000000000006</v>
      </c>
      <c r="BS127" s="543">
        <f t="shared" si="215"/>
        <v>5.7566612484813472E-3</v>
      </c>
      <c r="BT127" s="543">
        <f t="shared" si="216"/>
        <v>1.237667208485199E-2</v>
      </c>
      <c r="BU127" s="543">
        <f t="shared" si="217"/>
        <v>0</v>
      </c>
      <c r="BV127" s="543">
        <f t="shared" si="218"/>
        <v>1.7850000000000008E-2</v>
      </c>
      <c r="BW127" s="470">
        <f t="shared" si="219"/>
        <v>35.983333333333348</v>
      </c>
      <c r="BX127" s="178">
        <f t="shared" si="220"/>
        <v>0.20525240335956899</v>
      </c>
      <c r="BY127" s="6">
        <f t="shared" si="221"/>
        <v>1.6320000000000001</v>
      </c>
      <c r="BZ127" s="178">
        <f t="shared" si="222"/>
        <v>0.8882829582999876</v>
      </c>
      <c r="CA127" s="6">
        <f t="shared" si="223"/>
        <v>88.828295829998765</v>
      </c>
      <c r="CD127" s="577">
        <f t="shared" si="224"/>
        <v>-50</v>
      </c>
      <c r="CE127">
        <f t="shared" si="225"/>
        <v>-50</v>
      </c>
    </row>
    <row r="128" spans="5:83" x14ac:dyDescent="0.2">
      <c r="E128" s="175">
        <v>18</v>
      </c>
      <c r="F128" s="222">
        <f t="shared" si="226"/>
        <v>0.14399999999999999</v>
      </c>
      <c r="G128" s="222"/>
      <c r="H128" s="222">
        <f t="shared" si="177"/>
        <v>1.7279999999999998</v>
      </c>
      <c r="I128" s="556">
        <f t="shared" si="178"/>
        <v>9</v>
      </c>
      <c r="J128" s="452">
        <f t="shared" si="179"/>
        <v>12.25</v>
      </c>
      <c r="K128" s="452">
        <f t="shared" si="180"/>
        <v>21.25</v>
      </c>
      <c r="L128" s="452"/>
      <c r="M128" s="222">
        <f t="shared" si="181"/>
        <v>0.57647058823529407</v>
      </c>
      <c r="N128" s="177">
        <f t="shared" si="227"/>
        <v>10.104088235294114</v>
      </c>
      <c r="O128" s="177">
        <f t="shared" si="151"/>
        <v>1.7279999999999998</v>
      </c>
      <c r="P128" s="222">
        <f t="shared" si="182"/>
        <v>0.84200735294117612</v>
      </c>
      <c r="Q128" s="222">
        <f t="shared" si="183"/>
        <v>12</v>
      </c>
      <c r="R128" s="222"/>
      <c r="S128" s="177">
        <f t="shared" si="184"/>
        <v>112.73866350220688</v>
      </c>
      <c r="T128" s="177">
        <f t="shared" si="185"/>
        <v>12</v>
      </c>
      <c r="U128" s="222">
        <f t="shared" si="186"/>
        <v>0.70118152524167565</v>
      </c>
      <c r="V128" s="222">
        <f t="shared" si="187"/>
        <v>0.54536340852130327</v>
      </c>
      <c r="W128" s="222">
        <f t="shared" si="188"/>
        <v>0.40067515728095754</v>
      </c>
      <c r="X128" s="202">
        <f t="shared" si="189"/>
        <v>350</v>
      </c>
      <c r="Y128" s="452">
        <f t="shared" si="190"/>
        <v>350</v>
      </c>
      <c r="AA128" s="222">
        <f t="shared" si="191"/>
        <v>2.1176470588235294</v>
      </c>
      <c r="AB128" s="178">
        <f t="shared" si="192"/>
        <v>1.2100840336134453</v>
      </c>
      <c r="AC128" s="178">
        <f t="shared" si="193"/>
        <v>0.4484429065743944</v>
      </c>
      <c r="AD128" s="178"/>
      <c r="AE128" s="178">
        <f t="shared" si="194"/>
        <v>0.46857142857142853</v>
      </c>
      <c r="AF128" s="560">
        <f>MAX(12000,F128/(0.5*AE128/1000000*Isw_min*Nps))/1000</f>
        <v>749.5538370017847</v>
      </c>
      <c r="AG128" s="543">
        <f t="shared" si="195"/>
        <v>6.723999999999998E-2</v>
      </c>
      <c r="AI128" s="178">
        <f t="shared" si="196"/>
        <v>1.2</v>
      </c>
      <c r="AJ128" s="178">
        <f t="shared" si="197"/>
        <v>1.2</v>
      </c>
      <c r="AK128" s="178">
        <f t="shared" si="198"/>
        <v>1.4814814814814814</v>
      </c>
      <c r="AM128" s="560">
        <f t="shared" si="199"/>
        <v>144</v>
      </c>
      <c r="AN128" s="470">
        <f t="shared" si="200"/>
        <v>350</v>
      </c>
      <c r="AP128" s="470">
        <f t="shared" si="201"/>
        <v>144</v>
      </c>
      <c r="AQ128" s="470">
        <f t="shared" si="202"/>
        <v>350</v>
      </c>
      <c r="AS128" s="6">
        <f t="shared" si="153"/>
        <v>2.8571428571428572</v>
      </c>
      <c r="AT128" s="6">
        <f t="shared" si="203"/>
        <v>0.93333333333333324</v>
      </c>
      <c r="AU128" s="6">
        <f t="shared" si="204"/>
        <v>1.9238095238095241</v>
      </c>
      <c r="AV128" s="6"/>
      <c r="AW128" s="178">
        <f t="shared" si="205"/>
        <v>0.32666666666666661</v>
      </c>
      <c r="AX128" s="178">
        <f t="shared" si="134"/>
        <v>1.764</v>
      </c>
      <c r="AY128" s="178">
        <f t="shared" si="135"/>
        <v>0.40399999999999997</v>
      </c>
      <c r="AZ128" s="178">
        <f t="shared" si="156"/>
        <v>4.3663366336633667</v>
      </c>
      <c r="BA128" s="470">
        <f>L*Isw_max^2/(2*Vout_ripple*Vout)*1000000000*((1+M128)/2)^2</f>
        <v>25.385458958093036</v>
      </c>
      <c r="BB128" s="470">
        <f>L*F128^2/(2*Cout*Vout*Nps^2)*1000000000*((1+M128)/(1-M128))^2+F128*RCoutEsr</f>
        <v>2.2148652482269497</v>
      </c>
      <c r="BC128" s="6">
        <f t="shared" si="206"/>
        <v>0.57601782233361176</v>
      </c>
      <c r="BD128" s="470">
        <f>((BY128/I128/Efficiency)*AU128/Cin+(BY128/I128/Efficiency)*RCinEsr)*1000</f>
        <v>39.487518796992482</v>
      </c>
      <c r="BF128" s="178">
        <f t="shared" si="157"/>
        <v>0.3959797974644666</v>
      </c>
      <c r="BG128" s="178">
        <f t="shared" si="137"/>
        <v>0.56850681614207577</v>
      </c>
      <c r="BI128" s="543">
        <f t="shared" si="207"/>
        <v>1.7247999999999999E-2</v>
      </c>
      <c r="BJ128" s="543">
        <f t="shared" si="208"/>
        <v>4.4624999999999998E-2</v>
      </c>
      <c r="BK128" s="543">
        <f t="shared" si="209"/>
        <v>1.7499999999999998E-2</v>
      </c>
      <c r="BL128" s="543">
        <f t="shared" si="210"/>
        <v>3.5560546875000001E-2</v>
      </c>
      <c r="BM128">
        <f t="shared" si="211"/>
        <v>2.6099999999999999E-3</v>
      </c>
      <c r="BN128" s="470">
        <f t="shared" si="212"/>
        <v>117.543546875</v>
      </c>
      <c r="BO128" s="543">
        <f t="shared" si="213"/>
        <v>5.7599999999999998E-2</v>
      </c>
      <c r="BR128" s="470">
        <f t="shared" si="214"/>
        <v>57.6</v>
      </c>
      <c r="BS128" s="543">
        <f t="shared" si="215"/>
        <v>6.2719999999999998E-3</v>
      </c>
      <c r="BT128" s="543">
        <f t="shared" si="216"/>
        <v>1.2927999999999997E-2</v>
      </c>
      <c r="BU128" s="543">
        <f t="shared" si="217"/>
        <v>0</v>
      </c>
      <c r="BV128" s="543">
        <f t="shared" si="218"/>
        <v>1.8900000000000004E-2</v>
      </c>
      <c r="BW128" s="470">
        <f t="shared" si="219"/>
        <v>38.099999999999994</v>
      </c>
      <c r="BX128" s="178">
        <f t="shared" si="220"/>
        <v>0.213243546875</v>
      </c>
      <c r="BY128" s="6">
        <f t="shared" si="221"/>
        <v>1.7279999999999998</v>
      </c>
      <c r="BZ128" s="178">
        <f t="shared" si="222"/>
        <v>0.89015105950086582</v>
      </c>
      <c r="CA128" s="6">
        <f t="shared" si="223"/>
        <v>89.015105950086578</v>
      </c>
      <c r="CD128" s="577">
        <f t="shared" si="224"/>
        <v>-50</v>
      </c>
      <c r="CE128">
        <f t="shared" si="225"/>
        <v>-50</v>
      </c>
    </row>
    <row r="129" spans="5:83" x14ac:dyDescent="0.2">
      <c r="E129" s="175">
        <v>19</v>
      </c>
      <c r="F129" s="222">
        <f t="shared" si="226"/>
        <v>0.15200000000000002</v>
      </c>
      <c r="G129" s="222"/>
      <c r="H129" s="222">
        <f t="shared" si="177"/>
        <v>1.8240000000000003</v>
      </c>
      <c r="I129" s="556">
        <f t="shared" si="178"/>
        <v>9</v>
      </c>
      <c r="J129" s="452">
        <f t="shared" si="179"/>
        <v>12.25</v>
      </c>
      <c r="K129" s="452">
        <f t="shared" si="180"/>
        <v>21.25</v>
      </c>
      <c r="L129" s="452"/>
      <c r="M129" s="222">
        <f t="shared" si="181"/>
        <v>0.57647058823529407</v>
      </c>
      <c r="N129" s="177">
        <f t="shared" si="227"/>
        <v>10.104088235294114</v>
      </c>
      <c r="O129" s="177">
        <f t="shared" si="151"/>
        <v>1.8240000000000003</v>
      </c>
      <c r="P129" s="222">
        <f t="shared" si="182"/>
        <v>0.84200735294117612</v>
      </c>
      <c r="Q129" s="222">
        <f t="shared" si="183"/>
        <v>12</v>
      </c>
      <c r="R129" s="222"/>
      <c r="S129" s="177">
        <f t="shared" si="184"/>
        <v>106.33361018754233</v>
      </c>
      <c r="T129" s="177">
        <f t="shared" si="185"/>
        <v>12</v>
      </c>
      <c r="U129" s="222">
        <f t="shared" si="186"/>
        <v>0.740136054421769</v>
      </c>
      <c r="V129" s="222">
        <f t="shared" si="187"/>
        <v>0.57566137566137598</v>
      </c>
      <c r="W129" s="222">
        <f t="shared" si="188"/>
        <v>0.42293488824101089</v>
      </c>
      <c r="X129" s="202">
        <f t="shared" si="189"/>
        <v>350</v>
      </c>
      <c r="Y129" s="452">
        <f t="shared" si="190"/>
        <v>350</v>
      </c>
      <c r="AA129" s="222">
        <f t="shared" si="191"/>
        <v>2.1176470588235294</v>
      </c>
      <c r="AB129" s="178">
        <f t="shared" si="192"/>
        <v>1.2100840336134453</v>
      </c>
      <c r="AC129" s="178">
        <f t="shared" si="193"/>
        <v>0.4484429065743944</v>
      </c>
      <c r="AD129" s="178"/>
      <c r="AE129" s="178">
        <f t="shared" si="194"/>
        <v>0.46857142857142853</v>
      </c>
      <c r="AF129" s="560">
        <f>MAX(12000,F129/(0.5*AE129/1000000*Isw_min*Nps))/1000</f>
        <v>791.19571683521747</v>
      </c>
      <c r="AG129" s="543">
        <f t="shared" si="195"/>
        <v>6.723999999999998E-2</v>
      </c>
      <c r="AI129" s="178">
        <f t="shared" si="196"/>
        <v>1.2328828005937955</v>
      </c>
      <c r="AJ129" s="178">
        <f t="shared" si="197"/>
        <v>1.2328828005937955</v>
      </c>
      <c r="AK129" s="178">
        <f t="shared" si="198"/>
        <v>1.5058391115509595</v>
      </c>
      <c r="AM129" s="560">
        <f t="shared" si="199"/>
        <v>152.00000000000003</v>
      </c>
      <c r="AN129" s="470">
        <f t="shared" si="200"/>
        <v>350</v>
      </c>
      <c r="AP129" s="470">
        <f t="shared" si="201"/>
        <v>152.00000000000003</v>
      </c>
      <c r="AQ129" s="470">
        <f t="shared" si="202"/>
        <v>350</v>
      </c>
      <c r="AS129" s="6">
        <f t="shared" si="153"/>
        <v>2.8571428571428572</v>
      </c>
      <c r="AT129" s="6">
        <f t="shared" si="203"/>
        <v>0.95890884490628536</v>
      </c>
      <c r="AU129" s="6">
        <f t="shared" si="204"/>
        <v>1.8982340122365717</v>
      </c>
      <c r="AV129" s="6"/>
      <c r="AW129" s="178">
        <f t="shared" si="205"/>
        <v>0.33561809571719986</v>
      </c>
      <c r="AX129" s="178">
        <f t="shared" si="134"/>
        <v>1.8620000000000005</v>
      </c>
      <c r="AY129" s="178">
        <f t="shared" si="135"/>
        <v>0.4095525114080088</v>
      </c>
      <c r="AZ129" s="178">
        <f t="shared" si="156"/>
        <v>4.5464255452825659</v>
      </c>
      <c r="BA129" s="470">
        <f>L*Isw_max^2/(2*Vout_ripple*Vout)*1000000000*((1+M129)/2)^2</f>
        <v>25.385458958093036</v>
      </c>
      <c r="BB129" s="470">
        <f>L*F129^2/(2*Cout*Vout*Nps^2)*1000000000*((1+M129)/(1-M129))^2+F129*RCoutEsr</f>
        <v>2.4424640574380527</v>
      </c>
      <c r="BC129" s="6">
        <f t="shared" si="206"/>
        <v>0.59993568781797835</v>
      </c>
      <c r="BD129" s="470">
        <f>((BY129/I129/Efficiency)*AU129/Cin+(BY129/I129/Efficiency)*RCinEsr)*1000</f>
        <v>41.135658927713543</v>
      </c>
      <c r="BF129" s="178">
        <f t="shared" si="157"/>
        <v>0.41236695045802108</v>
      </c>
      <c r="BG129" s="178">
        <f t="shared" si="137"/>
        <v>0.5801897662287907</v>
      </c>
      <c r="BI129" s="543">
        <f t="shared" si="207"/>
        <v>1.8705115201305283E-2</v>
      </c>
      <c r="BJ129" s="543">
        <f t="shared" si="208"/>
        <v>4.584782914708177E-2</v>
      </c>
      <c r="BK129" s="543">
        <f t="shared" si="209"/>
        <v>1.7499999999999998E-2</v>
      </c>
      <c r="BL129" s="543">
        <f t="shared" si="210"/>
        <v>3.5560546875000001E-2</v>
      </c>
      <c r="BM129">
        <f t="shared" si="211"/>
        <v>2.6099999999999999E-3</v>
      </c>
      <c r="BN129" s="470">
        <f t="shared" si="212"/>
        <v>120.22349122338706</v>
      </c>
      <c r="BO129" s="543">
        <f t="shared" si="213"/>
        <v>6.0800000000000014E-2</v>
      </c>
      <c r="BR129" s="470">
        <f t="shared" si="214"/>
        <v>60.800000000000011</v>
      </c>
      <c r="BS129" s="543">
        <f t="shared" si="215"/>
        <v>6.8018600732019209E-3</v>
      </c>
      <c r="BT129" s="543">
        <f t="shared" si="216"/>
        <v>1.3464806593464754E-2</v>
      </c>
      <c r="BU129" s="543">
        <f t="shared" si="217"/>
        <v>0</v>
      </c>
      <c r="BV129" s="543">
        <f t="shared" si="218"/>
        <v>1.9950000000000009E-2</v>
      </c>
      <c r="BW129" s="470">
        <f t="shared" si="219"/>
        <v>40.216666666666683</v>
      </c>
      <c r="BX129" s="178">
        <f t="shared" si="220"/>
        <v>0.22124015789005375</v>
      </c>
      <c r="BY129" s="6">
        <f t="shared" si="221"/>
        <v>1.8240000000000003</v>
      </c>
      <c r="BZ129" s="178">
        <f t="shared" si="222"/>
        <v>0.89182680721549423</v>
      </c>
      <c r="CA129" s="6">
        <f t="shared" si="223"/>
        <v>89.182680721549417</v>
      </c>
      <c r="CD129" s="577">
        <f t="shared" si="224"/>
        <v>-50</v>
      </c>
      <c r="CE129">
        <f t="shared" si="225"/>
        <v>-50</v>
      </c>
    </row>
    <row r="130" spans="5:83" x14ac:dyDescent="0.2">
      <c r="E130" s="175">
        <v>20</v>
      </c>
      <c r="F130" s="222">
        <f t="shared" si="226"/>
        <v>0.16000000000000003</v>
      </c>
      <c r="G130" s="222"/>
      <c r="H130" s="222">
        <f t="shared" si="177"/>
        <v>1.9200000000000004</v>
      </c>
      <c r="I130" s="556">
        <f t="shared" si="178"/>
        <v>9</v>
      </c>
      <c r="J130" s="452">
        <f t="shared" si="179"/>
        <v>12.25</v>
      </c>
      <c r="K130" s="452">
        <f t="shared" si="180"/>
        <v>21.25</v>
      </c>
      <c r="L130" s="452"/>
      <c r="M130" s="222">
        <f t="shared" si="181"/>
        <v>0.57647058823529407</v>
      </c>
      <c r="N130" s="177">
        <f t="shared" si="227"/>
        <v>10.104088235294114</v>
      </c>
      <c r="O130" s="177">
        <f t="shared" si="151"/>
        <v>1.9200000000000004</v>
      </c>
      <c r="P130" s="222">
        <f t="shared" si="182"/>
        <v>0.84200735294117612</v>
      </c>
      <c r="Q130" s="222">
        <f t="shared" si="183"/>
        <v>12</v>
      </c>
      <c r="R130" s="222"/>
      <c r="S130" s="177">
        <f t="shared" si="184"/>
        <v>100.56919217941154</v>
      </c>
      <c r="T130" s="177">
        <f t="shared" si="185"/>
        <v>12</v>
      </c>
      <c r="U130" s="222">
        <f t="shared" si="186"/>
        <v>0.77909058360186212</v>
      </c>
      <c r="V130" s="222">
        <f t="shared" si="187"/>
        <v>0.60595934280144825</v>
      </c>
      <c r="W130" s="222">
        <f t="shared" si="188"/>
        <v>0.44519461920106401</v>
      </c>
      <c r="X130" s="202">
        <f t="shared" si="189"/>
        <v>350</v>
      </c>
      <c r="Y130" s="452">
        <f t="shared" si="190"/>
        <v>350</v>
      </c>
      <c r="AA130" s="222">
        <f t="shared" si="191"/>
        <v>2.1176470588235294</v>
      </c>
      <c r="AB130" s="178">
        <f t="shared" si="192"/>
        <v>1.2100840336134453</v>
      </c>
      <c r="AC130" s="178">
        <f t="shared" si="193"/>
        <v>0.4484429065743944</v>
      </c>
      <c r="AD130" s="178"/>
      <c r="AE130" s="178">
        <f t="shared" si="194"/>
        <v>0.46857142857142853</v>
      </c>
      <c r="AF130" s="560">
        <f>MAX(12000,F130/(0.5*AE130/1000000*Isw_min*Nps))/1000</f>
        <v>832.83759666864989</v>
      </c>
      <c r="AG130" s="543">
        <f t="shared" si="195"/>
        <v>6.723999999999998E-2</v>
      </c>
      <c r="AI130" s="178">
        <f t="shared" si="196"/>
        <v>1.264911064067352</v>
      </c>
      <c r="AJ130" s="178">
        <f t="shared" si="197"/>
        <v>1.264911064067352</v>
      </c>
      <c r="AK130" s="178">
        <f t="shared" si="198"/>
        <v>1.5295637511610014</v>
      </c>
      <c r="AM130" s="560">
        <f t="shared" si="199"/>
        <v>160.00000000000003</v>
      </c>
      <c r="AN130" s="470">
        <f t="shared" si="200"/>
        <v>350</v>
      </c>
      <c r="AP130" s="470">
        <f t="shared" si="201"/>
        <v>160.00000000000003</v>
      </c>
      <c r="AQ130" s="470">
        <f t="shared" si="202"/>
        <v>350</v>
      </c>
      <c r="AS130" s="6">
        <f t="shared" si="153"/>
        <v>2.8571428571428572</v>
      </c>
      <c r="AT130" s="6">
        <f t="shared" si="203"/>
        <v>0.9838197164968292</v>
      </c>
      <c r="AU130" s="6">
        <f t="shared" si="204"/>
        <v>1.873323140646028</v>
      </c>
      <c r="AV130" s="6"/>
      <c r="AW130" s="178">
        <f t="shared" si="205"/>
        <v>0.34433690077389023</v>
      </c>
      <c r="AX130" s="178">
        <f t="shared" si="134"/>
        <v>1.9600000000000004</v>
      </c>
      <c r="AY130" s="178">
        <f t="shared" si="135"/>
        <v>0.41467775425589815</v>
      </c>
      <c r="AZ130" s="178">
        <f t="shared" si="156"/>
        <v>4.7265617214433018</v>
      </c>
      <c r="BA130" s="470">
        <f>L*Isw_max^2/(2*Vout_ripple*Vout)*1000000000*((1+M130)/2)^2</f>
        <v>25.385458958093036</v>
      </c>
      <c r="BB130" s="470">
        <f>L*F130^2/(2*Cout*Vout*Nps^2)*1000000000*((1+M130)/(1-M130))^2+F130*RCoutEsr</f>
        <v>2.6810682076875936</v>
      </c>
      <c r="BC130" s="6">
        <f t="shared" si="206"/>
        <v>0.62322381287249284</v>
      </c>
      <c r="BD130" s="470">
        <f>((BY130/I130/Efficiency)*AU130/Cin+(BY130/I130/Efficiency)*RCinEsr)*1000</f>
        <v>42.741291579419588</v>
      </c>
      <c r="BF130" s="178">
        <f t="shared" si="157"/>
        <v>0.42853978471013421</v>
      </c>
      <c r="BG130" s="178">
        <f t="shared" si="137"/>
        <v>0.59134337423693639</v>
      </c>
      <c r="BI130" s="543">
        <f t="shared" si="207"/>
        <v>2.0201098178734903E-2</v>
      </c>
      <c r="BJ130" s="543">
        <f t="shared" si="208"/>
        <v>4.703888019500465E-2</v>
      </c>
      <c r="BK130" s="543">
        <f t="shared" si="209"/>
        <v>1.7499999999999998E-2</v>
      </c>
      <c r="BL130" s="543">
        <f t="shared" si="210"/>
        <v>3.5560546875000001E-2</v>
      </c>
      <c r="BM130">
        <f t="shared" si="211"/>
        <v>2.6099999999999999E-3</v>
      </c>
      <c r="BN130" s="470">
        <f t="shared" si="212"/>
        <v>122.91052524873955</v>
      </c>
      <c r="BO130" s="543">
        <f t="shared" si="213"/>
        <v>6.4000000000000015E-2</v>
      </c>
      <c r="BR130" s="470">
        <f t="shared" si="214"/>
        <v>64.000000000000014</v>
      </c>
      <c r="BS130" s="543">
        <f t="shared" si="215"/>
        <v>7.3458538831763275E-3</v>
      </c>
      <c r="BT130" s="543">
        <f t="shared" si="216"/>
        <v>1.3987479450157016E-2</v>
      </c>
      <c r="BU130" s="543">
        <f t="shared" si="217"/>
        <v>0</v>
      </c>
      <c r="BV130" s="543">
        <f t="shared" si="218"/>
        <v>2.1000000000000012E-2</v>
      </c>
      <c r="BW130" s="470">
        <f t="shared" si="219"/>
        <v>42.333333333333357</v>
      </c>
      <c r="BX130" s="178">
        <f t="shared" si="220"/>
        <v>0.22924385858207294</v>
      </c>
      <c r="BY130" s="6">
        <f t="shared" si="221"/>
        <v>1.9200000000000004</v>
      </c>
      <c r="BZ130" s="178">
        <f t="shared" si="222"/>
        <v>0.893337436947098</v>
      </c>
      <c r="CA130" s="6">
        <f t="shared" si="223"/>
        <v>89.333743694709796</v>
      </c>
      <c r="CD130" s="577">
        <f t="shared" si="224"/>
        <v>-50</v>
      </c>
      <c r="CE130">
        <f t="shared" si="225"/>
        <v>-50</v>
      </c>
    </row>
    <row r="131" spans="5:83" x14ac:dyDescent="0.2">
      <c r="E131" s="175">
        <v>21</v>
      </c>
      <c r="F131" s="222">
        <f t="shared" si="226"/>
        <v>0.16800000000000001</v>
      </c>
      <c r="G131" s="222"/>
      <c r="H131" s="222">
        <f t="shared" si="177"/>
        <v>2.016</v>
      </c>
      <c r="I131" s="556">
        <f t="shared" si="178"/>
        <v>9</v>
      </c>
      <c r="J131" s="452">
        <f t="shared" si="179"/>
        <v>12.25</v>
      </c>
      <c r="K131" s="452">
        <f t="shared" si="180"/>
        <v>21.25</v>
      </c>
      <c r="L131" s="452"/>
      <c r="M131" s="222">
        <f t="shared" si="181"/>
        <v>0.57647058823529407</v>
      </c>
      <c r="N131" s="177">
        <f t="shared" si="227"/>
        <v>10.104088235294114</v>
      </c>
      <c r="O131" s="177">
        <f t="shared" si="151"/>
        <v>2.016</v>
      </c>
      <c r="P131" s="222">
        <f t="shared" si="182"/>
        <v>0.84200735294117612</v>
      </c>
      <c r="Q131" s="222">
        <f t="shared" si="183"/>
        <v>12</v>
      </c>
      <c r="R131" s="222"/>
      <c r="S131" s="177">
        <f t="shared" si="184"/>
        <v>95.353891749647943</v>
      </c>
      <c r="T131" s="177">
        <f t="shared" si="185"/>
        <v>12</v>
      </c>
      <c r="U131" s="222">
        <f t="shared" si="186"/>
        <v>0.81804511278195502</v>
      </c>
      <c r="V131" s="222">
        <f t="shared" si="187"/>
        <v>0.63625730994152052</v>
      </c>
      <c r="W131" s="222">
        <f t="shared" si="188"/>
        <v>0.46745435016111714</v>
      </c>
      <c r="X131" s="202">
        <f t="shared" si="189"/>
        <v>350</v>
      </c>
      <c r="Y131" s="452">
        <f t="shared" si="190"/>
        <v>350</v>
      </c>
      <c r="AA131" s="222">
        <f t="shared" si="191"/>
        <v>2.1176470588235294</v>
      </c>
      <c r="AB131" s="178">
        <f t="shared" si="192"/>
        <v>1.2100840336134453</v>
      </c>
      <c r="AC131" s="178">
        <f t="shared" si="193"/>
        <v>0.4484429065743944</v>
      </c>
      <c r="AD131" s="178"/>
      <c r="AE131" s="178">
        <f t="shared" si="194"/>
        <v>0.46857142857142853</v>
      </c>
      <c r="AF131" s="560">
        <f>MAX(12000,F131/(0.5*AE131/1000000*Isw_min*Nps))/1000</f>
        <v>874.47947650208232</v>
      </c>
      <c r="AG131" s="543">
        <f t="shared" si="195"/>
        <v>6.723999999999998E-2</v>
      </c>
      <c r="AI131" s="178">
        <f t="shared" si="196"/>
        <v>1.2961481396815722</v>
      </c>
      <c r="AJ131" s="178">
        <f t="shared" si="197"/>
        <v>1.2961481396815722</v>
      </c>
      <c r="AK131" s="178">
        <f t="shared" si="198"/>
        <v>1.5527023256900534</v>
      </c>
      <c r="AM131" s="560">
        <f t="shared" si="199"/>
        <v>168</v>
      </c>
      <c r="AN131" s="470">
        <f t="shared" si="200"/>
        <v>350</v>
      </c>
      <c r="AP131" s="470">
        <f t="shared" si="201"/>
        <v>168</v>
      </c>
      <c r="AQ131" s="470">
        <f t="shared" si="202"/>
        <v>350</v>
      </c>
      <c r="AS131" s="6">
        <f t="shared" si="153"/>
        <v>2.8571428571428572</v>
      </c>
      <c r="AT131" s="6">
        <f t="shared" si="203"/>
        <v>1.0081152197523338</v>
      </c>
      <c r="AU131" s="6">
        <f t="shared" si="204"/>
        <v>1.8490276373905234</v>
      </c>
      <c r="AV131" s="6"/>
      <c r="AW131" s="178">
        <f t="shared" si="205"/>
        <v>0.35284032691331679</v>
      </c>
      <c r="AX131" s="178">
        <f t="shared" si="134"/>
        <v>2.0580000000000003</v>
      </c>
      <c r="AY131" s="178">
        <f t="shared" si="135"/>
        <v>0.4194074031741194</v>
      </c>
      <c r="AZ131" s="178">
        <f t="shared" si="156"/>
        <v>4.9069233981680807</v>
      </c>
      <c r="BA131" s="470">
        <f>L*Isw_max^2/(2*Vout_ripple*Vout)*1000000000*((1+M131)/2)^2</f>
        <v>25.385458958093036</v>
      </c>
      <c r="BB131" s="470">
        <f>L*F131^2/(2*Cout*Vout*Nps^2)*1000000000*((1+M131)/(1-M131))^2+F131*RCoutEsr</f>
        <v>2.930677698975571</v>
      </c>
      <c r="BC131" s="6">
        <f t="shared" si="206"/>
        <v>0.64589815325610489</v>
      </c>
      <c r="BD131" s="470">
        <f>((BY131/I131/Efficiency)*AU131/Cin+(BY131/I131/Efficiency)*RCinEsr)*1000</f>
        <v>44.305493765839714</v>
      </c>
      <c r="BF131" s="178">
        <f t="shared" si="157"/>
        <v>0.4445116231005185</v>
      </c>
      <c r="BG131" s="178">
        <f t="shared" si="137"/>
        <v>0.60200449909327314</v>
      </c>
      <c r="BI131" s="543">
        <f t="shared" si="207"/>
        <v>2.1734964137860316E-2</v>
      </c>
      <c r="BJ131" s="543">
        <f t="shared" si="208"/>
        <v>4.8200508944408464E-2</v>
      </c>
      <c r="BK131" s="543">
        <f t="shared" si="209"/>
        <v>1.7499999999999998E-2</v>
      </c>
      <c r="BL131" s="543">
        <f t="shared" si="210"/>
        <v>3.5560546875000001E-2</v>
      </c>
      <c r="BM131">
        <f t="shared" si="211"/>
        <v>2.6099999999999999E-3</v>
      </c>
      <c r="BN131" s="470">
        <f t="shared" si="212"/>
        <v>125.60601995726877</v>
      </c>
      <c r="BO131" s="543">
        <f t="shared" si="213"/>
        <v>6.720000000000001E-2</v>
      </c>
      <c r="BR131" s="470">
        <f t="shared" si="214"/>
        <v>67.2</v>
      </c>
      <c r="BS131" s="543">
        <f t="shared" si="215"/>
        <v>7.9036233228582959E-3</v>
      </c>
      <c r="BT131" s="543">
        <f t="shared" si="216"/>
        <v>1.4496376677141707E-2</v>
      </c>
      <c r="BU131" s="543">
        <f t="shared" si="217"/>
        <v>0</v>
      </c>
      <c r="BV131" s="543">
        <f t="shared" si="218"/>
        <v>2.2050000000000007E-2</v>
      </c>
      <c r="BW131" s="470">
        <f t="shared" si="219"/>
        <v>44.45000000000001</v>
      </c>
      <c r="BX131" s="178">
        <f t="shared" si="220"/>
        <v>0.2372560199572688</v>
      </c>
      <c r="BY131" s="6">
        <f t="shared" si="221"/>
        <v>2.016</v>
      </c>
      <c r="BZ131" s="178">
        <f t="shared" si="222"/>
        <v>0.894705254149607</v>
      </c>
      <c r="CA131" s="6">
        <f t="shared" si="223"/>
        <v>89.470525414960704</v>
      </c>
      <c r="CD131" s="577">
        <f t="shared" si="224"/>
        <v>-50</v>
      </c>
      <c r="CE131">
        <f t="shared" si="225"/>
        <v>-50</v>
      </c>
    </row>
    <row r="132" spans="5:83" x14ac:dyDescent="0.2">
      <c r="E132" s="175">
        <v>22</v>
      </c>
      <c r="F132" s="222">
        <f t="shared" si="226"/>
        <v>0.17600000000000002</v>
      </c>
      <c r="G132" s="222"/>
      <c r="H132" s="222">
        <f t="shared" si="177"/>
        <v>2.1120000000000001</v>
      </c>
      <c r="I132" s="556">
        <f t="shared" si="178"/>
        <v>9</v>
      </c>
      <c r="J132" s="452">
        <f t="shared" si="179"/>
        <v>12.25</v>
      </c>
      <c r="K132" s="452">
        <f t="shared" si="180"/>
        <v>21.25</v>
      </c>
      <c r="L132" s="452"/>
      <c r="M132" s="222">
        <f t="shared" si="181"/>
        <v>0.57647058823529407</v>
      </c>
      <c r="N132" s="177">
        <f t="shared" si="227"/>
        <v>10.104088235294114</v>
      </c>
      <c r="O132" s="177">
        <f t="shared" si="151"/>
        <v>2.1120000000000001</v>
      </c>
      <c r="P132" s="222">
        <f t="shared" si="182"/>
        <v>0.84200735294117612</v>
      </c>
      <c r="Q132" s="222">
        <f t="shared" si="183"/>
        <v>12</v>
      </c>
      <c r="R132" s="222"/>
      <c r="S132" s="177">
        <f t="shared" si="184"/>
        <v>90.612830782549636</v>
      </c>
      <c r="T132" s="177">
        <f t="shared" si="185"/>
        <v>12</v>
      </c>
      <c r="U132" s="222">
        <f t="shared" si="186"/>
        <v>0.85699964196204814</v>
      </c>
      <c r="V132" s="222">
        <f t="shared" si="187"/>
        <v>0.66655527708159301</v>
      </c>
      <c r="W132" s="222">
        <f t="shared" si="188"/>
        <v>0.48971408112117037</v>
      </c>
      <c r="X132" s="202">
        <f t="shared" si="189"/>
        <v>350</v>
      </c>
      <c r="Y132" s="452">
        <f t="shared" si="190"/>
        <v>350</v>
      </c>
      <c r="AA132" s="222">
        <f t="shared" si="191"/>
        <v>2.1176470588235294</v>
      </c>
      <c r="AB132" s="178">
        <f t="shared" si="192"/>
        <v>1.2100840336134453</v>
      </c>
      <c r="AC132" s="178">
        <f t="shared" si="193"/>
        <v>0.4484429065743944</v>
      </c>
      <c r="AD132" s="178"/>
      <c r="AE132" s="178">
        <f t="shared" si="194"/>
        <v>0.46857142857142853</v>
      </c>
      <c r="AF132" s="560">
        <f>MAX(12000,F132/(0.5*AE132/1000000*Isw_min*Nps))/1000</f>
        <v>916.12135633551486</v>
      </c>
      <c r="AG132" s="543">
        <f t="shared" si="195"/>
        <v>6.723999999999998E-2</v>
      </c>
      <c r="AI132" s="178">
        <f t="shared" si="196"/>
        <v>1.3266499161421601</v>
      </c>
      <c r="AJ132" s="178">
        <f t="shared" si="197"/>
        <v>1.3266499161421601</v>
      </c>
      <c r="AK132" s="178">
        <f t="shared" si="198"/>
        <v>1.5752962341793779</v>
      </c>
      <c r="AM132" s="560">
        <f t="shared" si="199"/>
        <v>176.00000000000003</v>
      </c>
      <c r="AN132" s="470">
        <f t="shared" si="200"/>
        <v>350</v>
      </c>
      <c r="AP132" s="470">
        <f t="shared" si="201"/>
        <v>176.00000000000003</v>
      </c>
      <c r="AQ132" s="470">
        <f t="shared" si="202"/>
        <v>350</v>
      </c>
      <c r="AS132" s="6">
        <f t="shared" si="153"/>
        <v>2.8571428571428572</v>
      </c>
      <c r="AT132" s="6">
        <f t="shared" si="203"/>
        <v>1.0318388236661244</v>
      </c>
      <c r="AU132" s="6">
        <f t="shared" si="204"/>
        <v>1.8253040334767328</v>
      </c>
      <c r="AV132" s="6"/>
      <c r="AW132" s="178">
        <f t="shared" si="205"/>
        <v>0.36114358828314352</v>
      </c>
      <c r="AX132" s="178">
        <f t="shared" si="134"/>
        <v>2.1560000000000006</v>
      </c>
      <c r="AY132" s="178">
        <f t="shared" si="135"/>
        <v>0.42376940251552447</v>
      </c>
      <c r="AZ132" s="178">
        <f t="shared" si="156"/>
        <v>5.087672652159017</v>
      </c>
      <c r="BA132" s="470">
        <f>L*Isw_max^2/(2*Vout_ripple*Vout)*1000000000*((1+M132)/2)^2</f>
        <v>25.385458958093036</v>
      </c>
      <c r="BB132" s="470">
        <f>L*F132^2/(2*Cout*Vout*Nps^2)*1000000000*((1+M132)/(1-M132))^2+F132*RCoutEsr</f>
        <v>3.191292531301988</v>
      </c>
      <c r="BC132" s="6">
        <f t="shared" si="206"/>
        <v>0.66797350984671611</v>
      </c>
      <c r="BD132" s="470">
        <f>((BY132/I132/Efficiency)*AU132/Cin+(BY132/I132/Efficiency)*RCinEsr)*1000</f>
        <v>45.829264546232281</v>
      </c>
      <c r="BF132" s="178">
        <f t="shared" si="157"/>
        <v>0.46029436790613781</v>
      </c>
      <c r="BG132" s="178">
        <f t="shared" si="137"/>
        <v>0.61220565297990825</v>
      </c>
      <c r="BI132" s="543">
        <f t="shared" si="207"/>
        <v>2.3305799563872204E-2</v>
      </c>
      <c r="BJ132" s="543">
        <f t="shared" si="208"/>
        <v>4.9334793756536571E-2</v>
      </c>
      <c r="BK132" s="543">
        <f t="shared" si="209"/>
        <v>1.7499999999999998E-2</v>
      </c>
      <c r="BL132" s="543">
        <f t="shared" si="210"/>
        <v>3.5560546875000001E-2</v>
      </c>
      <c r="BM132">
        <f t="shared" si="211"/>
        <v>2.6099999999999999E-3</v>
      </c>
      <c r="BN132" s="470">
        <f t="shared" si="212"/>
        <v>128.3111401954088</v>
      </c>
      <c r="BO132" s="543">
        <f t="shared" si="213"/>
        <v>7.0400000000000004E-2</v>
      </c>
      <c r="BR132" s="470">
        <f t="shared" si="214"/>
        <v>70.400000000000006</v>
      </c>
      <c r="BS132" s="543">
        <f t="shared" si="215"/>
        <v>8.4748362050444375E-3</v>
      </c>
      <c r="BT132" s="543">
        <f t="shared" si="216"/>
        <v>1.4991830461622233E-2</v>
      </c>
      <c r="BU132" s="543">
        <f t="shared" si="217"/>
        <v>0</v>
      </c>
      <c r="BV132" s="543">
        <f t="shared" si="218"/>
        <v>2.3100000000000009E-2</v>
      </c>
      <c r="BW132" s="470">
        <f t="shared" si="219"/>
        <v>46.566666666666677</v>
      </c>
      <c r="BX132" s="178">
        <f t="shared" si="220"/>
        <v>0.24527780686207548</v>
      </c>
      <c r="BY132" s="6">
        <f t="shared" si="221"/>
        <v>2.1120000000000001</v>
      </c>
      <c r="BZ132" s="178">
        <f t="shared" si="222"/>
        <v>0.89594870568582641</v>
      </c>
      <c r="CA132" s="6">
        <f t="shared" si="223"/>
        <v>89.594870568582635</v>
      </c>
      <c r="CD132" s="577">
        <f t="shared" si="224"/>
        <v>-50</v>
      </c>
      <c r="CE132">
        <f t="shared" si="225"/>
        <v>-50</v>
      </c>
    </row>
    <row r="133" spans="5:83" x14ac:dyDescent="0.2">
      <c r="E133" s="175">
        <v>23</v>
      </c>
      <c r="F133" s="222">
        <f t="shared" si="226"/>
        <v>0.18400000000000002</v>
      </c>
      <c r="G133" s="222"/>
      <c r="H133" s="222">
        <f t="shared" si="177"/>
        <v>2.2080000000000002</v>
      </c>
      <c r="I133" s="556">
        <f t="shared" si="178"/>
        <v>9</v>
      </c>
      <c r="J133" s="452">
        <f t="shared" si="179"/>
        <v>12.25</v>
      </c>
      <c r="K133" s="452">
        <f t="shared" si="180"/>
        <v>21.25</v>
      </c>
      <c r="L133" s="452"/>
      <c r="M133" s="222">
        <f t="shared" si="181"/>
        <v>0.57647058823529407</v>
      </c>
      <c r="N133" s="177">
        <f t="shared" si="227"/>
        <v>10.104088235294114</v>
      </c>
      <c r="O133" s="177">
        <f t="shared" si="151"/>
        <v>2.2080000000000002</v>
      </c>
      <c r="P133" s="222">
        <f t="shared" si="182"/>
        <v>0.84200735294117612</v>
      </c>
      <c r="Q133" s="222">
        <f t="shared" si="183"/>
        <v>12</v>
      </c>
      <c r="R133" s="222"/>
      <c r="S133" s="177">
        <f t="shared" si="184"/>
        <v>86.284153468313193</v>
      </c>
      <c r="T133" s="177">
        <f t="shared" si="185"/>
        <v>12</v>
      </c>
      <c r="U133" s="222">
        <f t="shared" si="186"/>
        <v>0.89595417114214138</v>
      </c>
      <c r="V133" s="222">
        <f t="shared" si="187"/>
        <v>0.6968532442216655</v>
      </c>
      <c r="W133" s="222">
        <f t="shared" si="188"/>
        <v>0.51197381208122361</v>
      </c>
      <c r="X133" s="202">
        <f t="shared" si="189"/>
        <v>350</v>
      </c>
      <c r="Y133" s="452">
        <f t="shared" si="190"/>
        <v>350</v>
      </c>
      <c r="AA133" s="222">
        <f t="shared" si="191"/>
        <v>2.1176470588235294</v>
      </c>
      <c r="AB133" s="178">
        <f t="shared" si="192"/>
        <v>1.2100840336134453</v>
      </c>
      <c r="AC133" s="178">
        <f t="shared" si="193"/>
        <v>0.4484429065743944</v>
      </c>
      <c r="AD133" s="178"/>
      <c r="AE133" s="178">
        <f t="shared" si="194"/>
        <v>0.46857142857142853</v>
      </c>
      <c r="AF133" s="560">
        <f>MAX(12000,F133/(0.5*AE133/1000000*Isw_min*Nps))/1000</f>
        <v>957.7632361689474</v>
      </c>
      <c r="AG133" s="543">
        <f t="shared" si="195"/>
        <v>6.723999999999998E-2</v>
      </c>
      <c r="AI133" s="178">
        <f t="shared" si="196"/>
        <v>1.3564659966250538</v>
      </c>
      <c r="AJ133" s="178">
        <f t="shared" si="197"/>
        <v>1.3564659966250538</v>
      </c>
      <c r="AK133" s="178">
        <f t="shared" si="198"/>
        <v>1.597382219722262</v>
      </c>
      <c r="AM133" s="560">
        <f t="shared" si="199"/>
        <v>184.00000000000003</v>
      </c>
      <c r="AN133" s="470">
        <f t="shared" si="200"/>
        <v>350</v>
      </c>
      <c r="AP133" s="470">
        <f t="shared" si="201"/>
        <v>184.00000000000003</v>
      </c>
      <c r="AQ133" s="470">
        <f t="shared" si="202"/>
        <v>350</v>
      </c>
      <c r="AS133" s="6">
        <f t="shared" si="153"/>
        <v>2.8571428571428572</v>
      </c>
      <c r="AT133" s="6">
        <f t="shared" si="203"/>
        <v>1.0550291084861532</v>
      </c>
      <c r="AU133" s="6">
        <f t="shared" si="204"/>
        <v>1.802113748656704</v>
      </c>
      <c r="AV133" s="6"/>
      <c r="AW133" s="178">
        <f t="shared" si="205"/>
        <v>0.36926018797015359</v>
      </c>
      <c r="AX133" s="178">
        <f t="shared" ref="AX133:AX196" si="228">0.5*L*AJ133^2*AN133*1000</f>
        <v>2.2540000000000009</v>
      </c>
      <c r="AY133" s="178">
        <f t="shared" ref="AY133:AY196" si="229">AJ133*Nps/2*(1-AW133)</f>
        <v>0.4277885538680824</v>
      </c>
      <c r="AZ133" s="178">
        <f t="shared" si="156"/>
        <v>5.2689581795006823</v>
      </c>
      <c r="BA133" s="470">
        <f>L*Isw_max^2/(2*Vout_ripple*Vout)*1000000000*((1+M133)/2)^2</f>
        <v>25.385458958093036</v>
      </c>
      <c r="BB133" s="470">
        <f>L*F133^2/(2*Cout*Vout*Nps^2)*1000000000*((1+M133)/(1-M133))^2+F133*RCoutEsr</f>
        <v>3.462912704666842</v>
      </c>
      <c r="BC133" s="6">
        <f t="shared" si="206"/>
        <v>0.68946366160433237</v>
      </c>
      <c r="BD133" s="470">
        <f>((BY133/I133/Efficiency)*AU133/Cin+(BY133/I133/Efficiency)*RCinEsr)*1000</f>
        <v>47.313534000397695</v>
      </c>
      <c r="BF133" s="178">
        <f t="shared" si="157"/>
        <v>0.47589870976398707</v>
      </c>
      <c r="BG133" s="178">
        <f t="shared" ref="BG133:BG196" si="230">AJ133*Nps*SQRT((1-AW133)/3)</f>
        <v>0.62197568391240654</v>
      </c>
      <c r="BI133" s="543">
        <f t="shared" si="207"/>
        <v>2.4912754015053037E-2</v>
      </c>
      <c r="BJ133" s="543">
        <f t="shared" si="208"/>
        <v>5.0443579249494198E-2</v>
      </c>
      <c r="BK133" s="543">
        <f t="shared" si="209"/>
        <v>1.7499999999999998E-2</v>
      </c>
      <c r="BL133" s="543">
        <f t="shared" si="210"/>
        <v>3.5560546875000001E-2</v>
      </c>
      <c r="BM133">
        <f t="shared" si="211"/>
        <v>2.6099999999999999E-3</v>
      </c>
      <c r="BN133" s="470">
        <f t="shared" si="212"/>
        <v>131.02688013954725</v>
      </c>
      <c r="BO133" s="543">
        <f t="shared" si="213"/>
        <v>7.3600000000000013E-2</v>
      </c>
      <c r="BR133" s="470">
        <f t="shared" si="214"/>
        <v>73.600000000000009</v>
      </c>
      <c r="BS133" s="543">
        <f t="shared" si="215"/>
        <v>9.0591832782011047E-3</v>
      </c>
      <c r="BT133" s="543">
        <f t="shared" si="216"/>
        <v>1.5474150055132235E-2</v>
      </c>
      <c r="BU133" s="543">
        <f t="shared" si="217"/>
        <v>0</v>
      </c>
      <c r="BV133" s="543">
        <f t="shared" si="218"/>
        <v>2.4150000000000008E-2</v>
      </c>
      <c r="BW133" s="470">
        <f t="shared" si="219"/>
        <v>48.683333333333344</v>
      </c>
      <c r="BX133" s="178">
        <f t="shared" si="220"/>
        <v>0.25331021347288063</v>
      </c>
      <c r="BY133" s="6">
        <f t="shared" si="221"/>
        <v>2.2080000000000002</v>
      </c>
      <c r="BZ133" s="178">
        <f t="shared" si="222"/>
        <v>0.89708318273483179</v>
      </c>
      <c r="CA133" s="6">
        <f t="shared" si="223"/>
        <v>89.708318273483172</v>
      </c>
      <c r="CD133" s="577">
        <f t="shared" si="224"/>
        <v>-50</v>
      </c>
      <c r="CE133">
        <f t="shared" si="225"/>
        <v>-50</v>
      </c>
    </row>
    <row r="134" spans="5:83" x14ac:dyDescent="0.2">
      <c r="E134" s="175">
        <v>24</v>
      </c>
      <c r="F134" s="222">
        <f t="shared" si="226"/>
        <v>0.192</v>
      </c>
      <c r="G134" s="222"/>
      <c r="H134" s="222">
        <f t="shared" si="177"/>
        <v>2.3040000000000003</v>
      </c>
      <c r="I134" s="556">
        <f t="shared" si="178"/>
        <v>9</v>
      </c>
      <c r="J134" s="452">
        <f t="shared" si="179"/>
        <v>12.25</v>
      </c>
      <c r="K134" s="452">
        <f t="shared" si="180"/>
        <v>21.25</v>
      </c>
      <c r="L134" s="452"/>
      <c r="M134" s="222">
        <f t="shared" si="181"/>
        <v>0.57647058823529407</v>
      </c>
      <c r="N134" s="177">
        <f t="shared" si="227"/>
        <v>10.104088235294114</v>
      </c>
      <c r="O134" s="177">
        <f t="shared" ref="O134:O197" si="231">T134*F134</f>
        <v>2.3040000000000003</v>
      </c>
      <c r="P134" s="222">
        <f t="shared" si="182"/>
        <v>0.84200735294117612</v>
      </c>
      <c r="Q134" s="222">
        <f t="shared" si="183"/>
        <v>12</v>
      </c>
      <c r="R134" s="222"/>
      <c r="S134" s="177">
        <f t="shared" si="184"/>
        <v>82.316313323119516</v>
      </c>
      <c r="T134" s="177">
        <f t="shared" si="185"/>
        <v>12</v>
      </c>
      <c r="U134" s="222">
        <f t="shared" si="186"/>
        <v>0.9349087003222345</v>
      </c>
      <c r="V134" s="222">
        <f t="shared" si="187"/>
        <v>0.72715121136173799</v>
      </c>
      <c r="W134" s="222">
        <f t="shared" si="188"/>
        <v>0.5342335430412769</v>
      </c>
      <c r="X134" s="202">
        <f t="shared" si="189"/>
        <v>350</v>
      </c>
      <c r="Y134" s="452">
        <f t="shared" si="190"/>
        <v>350</v>
      </c>
      <c r="AA134" s="222">
        <f t="shared" si="191"/>
        <v>2.1176470588235294</v>
      </c>
      <c r="AB134" s="178">
        <f t="shared" si="192"/>
        <v>1.2100840336134453</v>
      </c>
      <c r="AC134" s="178">
        <f t="shared" si="193"/>
        <v>0.4484429065743944</v>
      </c>
      <c r="AD134" s="178"/>
      <c r="AE134" s="178">
        <f t="shared" si="194"/>
        <v>0.46857142857142853</v>
      </c>
      <c r="AF134" s="560">
        <f>MAX(12000,F134/(0.5*AE134/1000000*Isw_min*Nps))/1000</f>
        <v>999.40511600237983</v>
      </c>
      <c r="AG134" s="543">
        <f t="shared" si="195"/>
        <v>6.723999999999998E-2</v>
      </c>
      <c r="AI134" s="178">
        <f t="shared" si="196"/>
        <v>1.3856406460551018</v>
      </c>
      <c r="AJ134" s="178">
        <f t="shared" si="197"/>
        <v>1.3856406460551018</v>
      </c>
      <c r="AK134" s="178">
        <f t="shared" si="198"/>
        <v>1.6189930711519274</v>
      </c>
      <c r="AM134" s="560">
        <f t="shared" si="199"/>
        <v>192</v>
      </c>
      <c r="AN134" s="470">
        <f t="shared" si="200"/>
        <v>350</v>
      </c>
      <c r="AP134" s="470">
        <f t="shared" si="201"/>
        <v>192</v>
      </c>
      <c r="AQ134" s="470">
        <f t="shared" si="202"/>
        <v>350</v>
      </c>
      <c r="AS134" s="6">
        <f t="shared" ref="AS134:AS197" si="232">1/AN134*1000</f>
        <v>2.8571428571428572</v>
      </c>
      <c r="AT134" s="6">
        <f t="shared" si="203"/>
        <v>1.0777205024873013</v>
      </c>
      <c r="AU134" s="6">
        <f t="shared" si="204"/>
        <v>1.7794223546555559</v>
      </c>
      <c r="AV134" s="6"/>
      <c r="AW134" s="178">
        <f t="shared" si="205"/>
        <v>0.37720217587055543</v>
      </c>
      <c r="AX134" s="178">
        <f t="shared" si="228"/>
        <v>2.3519999999999999</v>
      </c>
      <c r="AY134" s="178">
        <f t="shared" si="229"/>
        <v>0.43148698969421762</v>
      </c>
      <c r="AZ134" s="178">
        <f t="shared" ref="AZ134:AZ197" si="233">AX134/AY134</f>
        <v>5.4509175390590441</v>
      </c>
      <c r="BA134" s="470">
        <f>L*Isw_max^2/(2*Vout_ripple*Vout)*1000000000*((1+M134)/2)^2</f>
        <v>25.385458958093036</v>
      </c>
      <c r="BB134" s="470">
        <f>L*F134^2/(2*Cout*Vout*Nps^2)*1000000000*((1+M134)/(1-M134))^2+F134*RCoutEsr</f>
        <v>3.7455382190701338</v>
      </c>
      <c r="BC134" s="6">
        <f t="shared" si="206"/>
        <v>0.71038147803792961</v>
      </c>
      <c r="BD134" s="470">
        <f>((BY134/I134/Efficiency)*AU134/Cin+(BY134/I134/Efficiency)*RCinEsr)*1000</f>
        <v>48.759170820191812</v>
      </c>
      <c r="BF134" s="178">
        <f t="shared" ref="BF134:BF197" si="234">AJ134*SQRT(AW134/3)</f>
        <v>0.49133429816893048</v>
      </c>
      <c r="BG134" s="178">
        <f t="shared" si="230"/>
        <v>0.63134032616556701</v>
      </c>
      <c r="BI134" s="543">
        <f t="shared" si="207"/>
        <v>2.6555033181287106E-2</v>
      </c>
      <c r="BJ134" s="543">
        <f t="shared" si="208"/>
        <v>5.1528511525174098E-2</v>
      </c>
      <c r="BK134" s="543">
        <f t="shared" si="209"/>
        <v>1.7499999999999998E-2</v>
      </c>
      <c r="BL134" s="543">
        <f t="shared" si="210"/>
        <v>3.5560546875000001E-2</v>
      </c>
      <c r="BM134">
        <f t="shared" si="211"/>
        <v>2.6099999999999999E-3</v>
      </c>
      <c r="BN134" s="470">
        <f t="shared" si="212"/>
        <v>133.75409158146121</v>
      </c>
      <c r="BO134" s="543">
        <f t="shared" si="213"/>
        <v>7.6800000000000007E-2</v>
      </c>
      <c r="BR134" s="470">
        <f t="shared" si="214"/>
        <v>76.800000000000011</v>
      </c>
      <c r="BS134" s="543">
        <f t="shared" si="215"/>
        <v>9.6563757022862205E-3</v>
      </c>
      <c r="BT134" s="543">
        <f t="shared" si="216"/>
        <v>1.5943624297713781E-2</v>
      </c>
      <c r="BU134" s="543">
        <f t="shared" si="217"/>
        <v>0</v>
      </c>
      <c r="BV134" s="543">
        <f t="shared" si="218"/>
        <v>2.5200000000000004E-2</v>
      </c>
      <c r="BW134" s="470">
        <f t="shared" si="219"/>
        <v>50.800000000000004</v>
      </c>
      <c r="BX134" s="178">
        <f t="shared" si="220"/>
        <v>0.26135409158146122</v>
      </c>
      <c r="BY134" s="6">
        <f t="shared" si="221"/>
        <v>2.3040000000000003</v>
      </c>
      <c r="BZ134" s="178">
        <f t="shared" si="222"/>
        <v>0.89812163067892714</v>
      </c>
      <c r="CA134" s="6">
        <f t="shared" si="223"/>
        <v>89.812163067892712</v>
      </c>
      <c r="CD134" s="577">
        <f t="shared" si="224"/>
        <v>-50</v>
      </c>
      <c r="CE134">
        <f t="shared" si="225"/>
        <v>-50</v>
      </c>
    </row>
    <row r="135" spans="5:83" x14ac:dyDescent="0.2">
      <c r="E135" s="175">
        <v>25</v>
      </c>
      <c r="F135" s="222">
        <f t="shared" si="226"/>
        <v>0.2</v>
      </c>
      <c r="G135" s="222"/>
      <c r="H135" s="222">
        <f t="shared" si="177"/>
        <v>2.4000000000000004</v>
      </c>
      <c r="I135" s="556">
        <f t="shared" si="178"/>
        <v>9</v>
      </c>
      <c r="J135" s="452">
        <f t="shared" si="179"/>
        <v>12.25</v>
      </c>
      <c r="K135" s="452">
        <f t="shared" si="180"/>
        <v>21.25</v>
      </c>
      <c r="L135" s="452"/>
      <c r="M135" s="222">
        <f t="shared" si="181"/>
        <v>0.57647058823529407</v>
      </c>
      <c r="N135" s="177">
        <f t="shared" si="227"/>
        <v>10.104088235294114</v>
      </c>
      <c r="O135" s="177">
        <f t="shared" si="231"/>
        <v>2.4000000000000004</v>
      </c>
      <c r="P135" s="222">
        <f t="shared" si="182"/>
        <v>0.84200735294117612</v>
      </c>
      <c r="Q135" s="222">
        <f t="shared" si="183"/>
        <v>12</v>
      </c>
      <c r="R135" s="222"/>
      <c r="S135" s="177">
        <f t="shared" si="184"/>
        <v>78.666011324409823</v>
      </c>
      <c r="T135" s="177">
        <f t="shared" si="185"/>
        <v>12</v>
      </c>
      <c r="U135" s="222">
        <f t="shared" si="186"/>
        <v>0.97386322950232762</v>
      </c>
      <c r="V135" s="222">
        <f t="shared" si="187"/>
        <v>0.75744917850181037</v>
      </c>
      <c r="W135" s="222">
        <f t="shared" si="188"/>
        <v>0.55649327400133008</v>
      </c>
      <c r="X135" s="202">
        <f t="shared" si="189"/>
        <v>350</v>
      </c>
      <c r="Y135" s="452">
        <f t="shared" si="190"/>
        <v>350</v>
      </c>
      <c r="AA135" s="222">
        <f t="shared" si="191"/>
        <v>2.1176470588235294</v>
      </c>
      <c r="AB135" s="178">
        <f t="shared" si="192"/>
        <v>1.2100840336134453</v>
      </c>
      <c r="AC135" s="178">
        <f t="shared" si="193"/>
        <v>0.4484429065743944</v>
      </c>
      <c r="AD135" s="178"/>
      <c r="AE135" s="178">
        <f t="shared" si="194"/>
        <v>0.46857142857142853</v>
      </c>
      <c r="AF135" s="560">
        <f>MAX(12000,F135/(0.5*AE135/1000000*Isw_min*Nps))/1000</f>
        <v>1041.0469958358124</v>
      </c>
      <c r="AG135" s="543">
        <f t="shared" si="195"/>
        <v>6.723999999999998E-2</v>
      </c>
      <c r="AI135" s="178">
        <f t="shared" si="196"/>
        <v>1.4142135623730951</v>
      </c>
      <c r="AJ135" s="178">
        <f t="shared" si="197"/>
        <v>1.4142135623730951</v>
      </c>
      <c r="AK135" s="178">
        <f t="shared" si="198"/>
        <v>1.6401581943504409</v>
      </c>
      <c r="AM135" s="560">
        <f t="shared" si="199"/>
        <v>200</v>
      </c>
      <c r="AN135" s="470">
        <f t="shared" si="200"/>
        <v>350</v>
      </c>
      <c r="AP135" s="470">
        <f t="shared" si="201"/>
        <v>200</v>
      </c>
      <c r="AQ135" s="470">
        <f t="shared" si="202"/>
        <v>350</v>
      </c>
      <c r="AS135" s="6">
        <f t="shared" si="232"/>
        <v>2.8571428571428572</v>
      </c>
      <c r="AT135" s="6">
        <f t="shared" si="203"/>
        <v>1.0999438818457408</v>
      </c>
      <c r="AU135" s="6">
        <f t="shared" si="204"/>
        <v>1.7571989752971164</v>
      </c>
      <c r="AV135" s="6"/>
      <c r="AW135" s="178">
        <f t="shared" si="205"/>
        <v>0.38498035864600927</v>
      </c>
      <c r="AX135" s="178">
        <f t="shared" si="228"/>
        <v>2.4500000000000002</v>
      </c>
      <c r="AY135" s="178">
        <f t="shared" si="229"/>
        <v>0.43488455896432532</v>
      </c>
      <c r="AZ135" s="178">
        <f t="shared" si="233"/>
        <v>5.6336789833022785</v>
      </c>
      <c r="BA135" s="470">
        <f>L*Isw_max^2/(2*Vout_ripple*Vout)*1000000000*((1+M135)/2)^2</f>
        <v>25.385458958093036</v>
      </c>
      <c r="BB135" s="470">
        <f>L*F135^2/(2*Cout*Vout*Nps^2)*1000000000*((1+M135)/(1-M135))^2+F135*RCoutEsr</f>
        <v>4.0391690745118645</v>
      </c>
      <c r="BC135" s="6">
        <f t="shared" si="206"/>
        <v>0.7307390150683265</v>
      </c>
      <c r="BD135" s="470">
        <f>((BY135/I135/Efficiency)*AU135/Cin+(BY135/I135/Efficiency)*RCinEsr)*1000</f>
        <v>50.166988780269939</v>
      </c>
      <c r="BF135" s="178">
        <f t="shared" si="234"/>
        <v>0.50660988189204603</v>
      </c>
      <c r="BG135" s="178">
        <f t="shared" si="230"/>
        <v>0.64032264854211884</v>
      </c>
      <c r="BI135" s="543">
        <f t="shared" si="207"/>
        <v>2.8231892967374012E-2</v>
      </c>
      <c r="BJ135" s="543">
        <f t="shared" si="208"/>
        <v>5.2591066850749477E-2</v>
      </c>
      <c r="BK135" s="543">
        <f t="shared" si="209"/>
        <v>1.7499999999999998E-2</v>
      </c>
      <c r="BL135" s="543">
        <f t="shared" si="210"/>
        <v>3.5560546875000001E-2</v>
      </c>
      <c r="BM135">
        <f t="shared" si="211"/>
        <v>2.6099999999999999E-3</v>
      </c>
      <c r="BN135" s="470">
        <f t="shared" si="212"/>
        <v>136.49350669312349</v>
      </c>
      <c r="BO135" s="543">
        <f t="shared" si="213"/>
        <v>8.0000000000000016E-2</v>
      </c>
      <c r="BR135" s="470">
        <f t="shared" si="214"/>
        <v>80.000000000000014</v>
      </c>
      <c r="BS135" s="543">
        <f t="shared" si="215"/>
        <v>1.0266142897226913E-2</v>
      </c>
      <c r="BT135" s="543">
        <f t="shared" si="216"/>
        <v>1.6400523769439755E-2</v>
      </c>
      <c r="BU135" s="543">
        <f t="shared" si="217"/>
        <v>0</v>
      </c>
      <c r="BV135" s="543">
        <f t="shared" si="218"/>
        <v>2.6250000000000009E-2</v>
      </c>
      <c r="BW135" s="470">
        <f t="shared" si="219"/>
        <v>52.916666666666679</v>
      </c>
      <c r="BX135" s="178">
        <f t="shared" si="220"/>
        <v>0.26941017335979017</v>
      </c>
      <c r="BY135" s="6">
        <f t="shared" si="221"/>
        <v>2.4000000000000004</v>
      </c>
      <c r="BZ135" s="178">
        <f t="shared" si="222"/>
        <v>0.89907501812630641</v>
      </c>
      <c r="CA135" s="6">
        <f t="shared" si="223"/>
        <v>89.907501812630642</v>
      </c>
      <c r="CD135" s="577">
        <f t="shared" si="224"/>
        <v>-50</v>
      </c>
      <c r="CE135">
        <f t="shared" si="225"/>
        <v>-50</v>
      </c>
    </row>
    <row r="136" spans="5:83" x14ac:dyDescent="0.2">
      <c r="E136" s="175">
        <v>26</v>
      </c>
      <c r="F136" s="222">
        <f t="shared" si="226"/>
        <v>0.20800000000000002</v>
      </c>
      <c r="G136" s="222"/>
      <c r="H136" s="222">
        <f t="shared" si="177"/>
        <v>2.4960000000000004</v>
      </c>
      <c r="I136" s="556">
        <f t="shared" si="178"/>
        <v>9</v>
      </c>
      <c r="J136" s="452">
        <f t="shared" si="179"/>
        <v>12.25</v>
      </c>
      <c r="K136" s="452">
        <f t="shared" si="180"/>
        <v>21.25</v>
      </c>
      <c r="L136" s="452"/>
      <c r="M136" s="222">
        <f t="shared" si="181"/>
        <v>0.57647058823529407</v>
      </c>
      <c r="N136" s="177">
        <f t="shared" si="227"/>
        <v>10.104088235294114</v>
      </c>
      <c r="O136" s="177">
        <f t="shared" si="231"/>
        <v>2.4960000000000004</v>
      </c>
      <c r="P136" s="222">
        <f t="shared" si="182"/>
        <v>0.84200735294117612</v>
      </c>
      <c r="Q136" s="222">
        <f t="shared" si="183"/>
        <v>12</v>
      </c>
      <c r="R136" s="222"/>
      <c r="S136" s="177">
        <f t="shared" si="184"/>
        <v>75.296609861108635</v>
      </c>
      <c r="T136" s="177">
        <f t="shared" si="185"/>
        <v>12</v>
      </c>
      <c r="U136" s="222">
        <f t="shared" si="186"/>
        <v>1.0128177586824207</v>
      </c>
      <c r="V136" s="222">
        <f t="shared" si="187"/>
        <v>0.78774714564188275</v>
      </c>
      <c r="W136" s="222">
        <f t="shared" si="188"/>
        <v>0.57875300496138316</v>
      </c>
      <c r="X136" s="202">
        <f t="shared" si="189"/>
        <v>350</v>
      </c>
      <c r="Y136" s="452">
        <f t="shared" si="190"/>
        <v>350</v>
      </c>
      <c r="AA136" s="222">
        <f t="shared" si="191"/>
        <v>2.1176470588235294</v>
      </c>
      <c r="AB136" s="178">
        <f t="shared" si="192"/>
        <v>1.2100840336134453</v>
      </c>
      <c r="AC136" s="178">
        <f t="shared" si="193"/>
        <v>0.4484429065743944</v>
      </c>
      <c r="AD136" s="178"/>
      <c r="AE136" s="178">
        <f t="shared" si="194"/>
        <v>0.46857142857142853</v>
      </c>
      <c r="AF136" s="560">
        <f>MAX(12000,F136/(0.5*AE136/1000000*Isw_min*Nps))/1000</f>
        <v>1082.6888756692449</v>
      </c>
      <c r="AG136" s="543">
        <f t="shared" si="195"/>
        <v>6.723999999999998E-2</v>
      </c>
      <c r="AI136" s="178">
        <f t="shared" si="196"/>
        <v>1.4422205101855958</v>
      </c>
      <c r="AJ136" s="178">
        <f t="shared" si="197"/>
        <v>1.4422205101855958</v>
      </c>
      <c r="AK136" s="178">
        <f t="shared" si="198"/>
        <v>1.66090408161896</v>
      </c>
      <c r="AM136" s="560">
        <f t="shared" si="199"/>
        <v>208.00000000000003</v>
      </c>
      <c r="AN136" s="470">
        <f t="shared" si="200"/>
        <v>350</v>
      </c>
      <c r="AP136" s="470">
        <f t="shared" si="201"/>
        <v>208.00000000000003</v>
      </c>
      <c r="AQ136" s="470">
        <f t="shared" si="202"/>
        <v>350</v>
      </c>
      <c r="AS136" s="6">
        <f t="shared" si="232"/>
        <v>2.8571428571428572</v>
      </c>
      <c r="AT136" s="6">
        <f t="shared" si="203"/>
        <v>1.1217270634776855</v>
      </c>
      <c r="AU136" s="6">
        <f t="shared" si="204"/>
        <v>1.7354157936651717</v>
      </c>
      <c r="AV136" s="6"/>
      <c r="AW136" s="178">
        <f t="shared" si="205"/>
        <v>0.39260447221718991</v>
      </c>
      <c r="AX136" s="178">
        <f t="shared" si="228"/>
        <v>2.5480000000000005</v>
      </c>
      <c r="AY136" s="178">
        <f t="shared" si="229"/>
        <v>0.43799914398168677</v>
      </c>
      <c r="AZ136" s="178">
        <f t="shared" si="233"/>
        <v>5.8173629675096699</v>
      </c>
      <c r="BA136" s="470">
        <f>L*Isw_max^2/(2*Vout_ripple*Vout)*1000000000*((1+M136)/2)^2</f>
        <v>25.385458958093036</v>
      </c>
      <c r="BB136" s="470">
        <f>L*F136^2/(2*Cout*Vout*Nps^2)*1000000000*((1+M136)/(1-M136))^2+F136*RCoutEsr</f>
        <v>4.3438052709920321</v>
      </c>
      <c r="BC136" s="6">
        <f t="shared" si="206"/>
        <v>0.75054759731224063</v>
      </c>
      <c r="BD136" s="470">
        <f>((BY136/I136/Efficiency)*AU136/Cin+(BY136/I136/Efficiency)*RCinEsr)*1000</f>
        <v>51.537752292260464</v>
      </c>
      <c r="BF136" s="178">
        <f t="shared" si="234"/>
        <v>0.52173342561495739</v>
      </c>
      <c r="BG136" s="178">
        <f t="shared" si="230"/>
        <v>0.64894342274917549</v>
      </c>
      <c r="BI136" s="543">
        <f t="shared" si="207"/>
        <v>2.994263441443101E-2</v>
      </c>
      <c r="BJ136" s="543">
        <f t="shared" si="208"/>
        <v>5.3632575222526839E-2</v>
      </c>
      <c r="BK136" s="543">
        <f t="shared" si="209"/>
        <v>1.7499999999999998E-2</v>
      </c>
      <c r="BL136" s="543">
        <f t="shared" si="210"/>
        <v>3.5560546875000001E-2</v>
      </c>
      <c r="BM136">
        <f t="shared" si="211"/>
        <v>2.6099999999999999E-3</v>
      </c>
      <c r="BN136" s="470">
        <f t="shared" si="212"/>
        <v>139.24575651195786</v>
      </c>
      <c r="BO136" s="543">
        <f t="shared" si="213"/>
        <v>8.320000000000001E-2</v>
      </c>
      <c r="BR136" s="470">
        <f t="shared" si="214"/>
        <v>83.200000000000017</v>
      </c>
      <c r="BS136" s="543">
        <f t="shared" si="215"/>
        <v>1.0888230696156732E-2</v>
      </c>
      <c r="BT136" s="543">
        <f t="shared" si="216"/>
        <v>1.6845102637176604E-2</v>
      </c>
      <c r="BU136" s="543">
        <f t="shared" si="217"/>
        <v>0</v>
      </c>
      <c r="BV136" s="543">
        <f t="shared" si="218"/>
        <v>2.7300000000000008E-2</v>
      </c>
      <c r="BW136" s="470">
        <f t="shared" si="219"/>
        <v>55.033333333333346</v>
      </c>
      <c r="BX136" s="178">
        <f t="shared" si="220"/>
        <v>0.27747908984529118</v>
      </c>
      <c r="BY136" s="6">
        <f t="shared" si="221"/>
        <v>2.4960000000000004</v>
      </c>
      <c r="BZ136" s="178">
        <f t="shared" si="222"/>
        <v>0.8999527016946901</v>
      </c>
      <c r="CA136" s="6">
        <f t="shared" si="223"/>
        <v>89.995270169469009</v>
      </c>
      <c r="CD136" s="577">
        <f t="shared" si="224"/>
        <v>-50</v>
      </c>
      <c r="CE136">
        <f t="shared" si="225"/>
        <v>-50</v>
      </c>
    </row>
    <row r="137" spans="5:83" x14ac:dyDescent="0.2">
      <c r="E137" s="175">
        <v>27</v>
      </c>
      <c r="F137" s="222">
        <f t="shared" si="226"/>
        <v>0.21600000000000003</v>
      </c>
      <c r="G137" s="222"/>
      <c r="H137" s="222">
        <f t="shared" si="177"/>
        <v>2.5920000000000005</v>
      </c>
      <c r="I137" s="556">
        <f t="shared" si="178"/>
        <v>9</v>
      </c>
      <c r="J137" s="452">
        <f t="shared" si="179"/>
        <v>12.25</v>
      </c>
      <c r="K137" s="452">
        <f t="shared" si="180"/>
        <v>21.25</v>
      </c>
      <c r="L137" s="452"/>
      <c r="M137" s="222">
        <f t="shared" si="181"/>
        <v>0.57647058823529407</v>
      </c>
      <c r="N137" s="177">
        <f t="shared" si="227"/>
        <v>10.104088235294114</v>
      </c>
      <c r="O137" s="177">
        <f t="shared" si="231"/>
        <v>2.5920000000000005</v>
      </c>
      <c r="P137" s="222">
        <f t="shared" si="182"/>
        <v>0.84200735294117612</v>
      </c>
      <c r="Q137" s="222">
        <f t="shared" si="183"/>
        <v>12</v>
      </c>
      <c r="R137" s="222"/>
      <c r="S137" s="177">
        <f t="shared" si="184"/>
        <v>72.176899139363073</v>
      </c>
      <c r="T137" s="177">
        <f t="shared" si="185"/>
        <v>12</v>
      </c>
      <c r="U137" s="222">
        <f t="shared" si="186"/>
        <v>1.0517722878625138</v>
      </c>
      <c r="V137" s="222">
        <f t="shared" si="187"/>
        <v>0.81804511278195513</v>
      </c>
      <c r="W137" s="222">
        <f t="shared" si="188"/>
        <v>0.60101273592143645</v>
      </c>
      <c r="X137" s="202">
        <f t="shared" si="189"/>
        <v>350</v>
      </c>
      <c r="Y137" s="452">
        <f t="shared" si="190"/>
        <v>350</v>
      </c>
      <c r="AA137" s="222">
        <f t="shared" si="191"/>
        <v>2.1176470588235294</v>
      </c>
      <c r="AB137" s="178">
        <f t="shared" si="192"/>
        <v>1.2100840336134453</v>
      </c>
      <c r="AC137" s="178">
        <f t="shared" si="193"/>
        <v>0.4484429065743944</v>
      </c>
      <c r="AD137" s="178"/>
      <c r="AE137" s="178">
        <f t="shared" si="194"/>
        <v>0.46857142857142853</v>
      </c>
      <c r="AF137" s="560">
        <f>MAX(12000,F137/(0.5*AE137/1000000*Isw_min*Nps))/1000</f>
        <v>1124.3307555026772</v>
      </c>
      <c r="AG137" s="543">
        <f t="shared" si="195"/>
        <v>6.723999999999998E-2</v>
      </c>
      <c r="AI137" s="178">
        <f t="shared" si="196"/>
        <v>1.4696938456699071</v>
      </c>
      <c r="AJ137" s="178">
        <f t="shared" si="197"/>
        <v>1.4696938456699071</v>
      </c>
      <c r="AK137" s="178">
        <f t="shared" si="198"/>
        <v>1.6812547004962275</v>
      </c>
      <c r="AM137" s="560">
        <f t="shared" si="199"/>
        <v>216.00000000000003</v>
      </c>
      <c r="AN137" s="470">
        <f t="shared" si="200"/>
        <v>350</v>
      </c>
      <c r="AP137" s="470">
        <f t="shared" si="201"/>
        <v>216.00000000000003</v>
      </c>
      <c r="AQ137" s="470">
        <f t="shared" si="202"/>
        <v>350</v>
      </c>
      <c r="AS137" s="6">
        <f t="shared" si="232"/>
        <v>2.8571428571428572</v>
      </c>
      <c r="AT137" s="6">
        <f t="shared" si="203"/>
        <v>1.1430952132988168</v>
      </c>
      <c r="AU137" s="6">
        <f t="shared" si="204"/>
        <v>1.7140476438440404</v>
      </c>
      <c r="AV137" s="6"/>
      <c r="AW137" s="178">
        <f t="shared" si="205"/>
        <v>0.40008332465458585</v>
      </c>
      <c r="AX137" s="178">
        <f t="shared" si="228"/>
        <v>2.6460000000000008</v>
      </c>
      <c r="AY137" s="178">
        <f t="shared" si="229"/>
        <v>0.44084692283495347</v>
      </c>
      <c r="AZ137" s="178">
        <f t="shared" si="233"/>
        <v>6.0020834056964114</v>
      </c>
      <c r="BA137" s="470">
        <f>L*Isw_max^2/(2*Vout_ripple*Vout)*1000000000*((1+M137)/2)^2</f>
        <v>25.385458958093036</v>
      </c>
      <c r="BB137" s="470">
        <f>L*F137^2/(2*Cout*Vout*Nps^2)*1000000000*((1+M137)/(1-M137))^2+F137*RCoutEsr</f>
        <v>4.6594468085106389</v>
      </c>
      <c r="BC137" s="6">
        <f t="shared" si="206"/>
        <v>0.76981788916504279</v>
      </c>
      <c r="BD137" s="470">
        <f>((BY137/I137/Efficiency)*AU137/Cin+(BY137/I137/Efficiency)*RCinEsr)*1000</f>
        <v>52.872181202850918</v>
      </c>
      <c r="BF137" s="178">
        <f t="shared" si="234"/>
        <v>0.53671220756686899</v>
      </c>
      <c r="BG137" s="178">
        <f t="shared" si="230"/>
        <v>0.65722142862866106</v>
      </c>
      <c r="BI137" s="543">
        <f t="shared" si="207"/>
        <v>3.1686599312643206E-2</v>
      </c>
      <c r="BJ137" s="543">
        <f t="shared" si="208"/>
        <v>5.4654239885849672E-2</v>
      </c>
      <c r="BK137" s="543">
        <f t="shared" si="209"/>
        <v>1.7499999999999998E-2</v>
      </c>
      <c r="BL137" s="543">
        <f t="shared" si="210"/>
        <v>3.5560546875000001E-2</v>
      </c>
      <c r="BM137">
        <f t="shared" si="211"/>
        <v>2.6099999999999999E-3</v>
      </c>
      <c r="BN137" s="470">
        <f t="shared" si="212"/>
        <v>142.0113860734929</v>
      </c>
      <c r="BO137" s="543">
        <f t="shared" si="213"/>
        <v>8.6400000000000018E-2</v>
      </c>
      <c r="BR137" s="470">
        <f t="shared" si="214"/>
        <v>86.40000000000002</v>
      </c>
      <c r="BS137" s="543">
        <f t="shared" si="215"/>
        <v>1.1522399750052075E-2</v>
      </c>
      <c r="BT137" s="543">
        <f t="shared" si="216"/>
        <v>1.7277600249947928E-2</v>
      </c>
      <c r="BU137" s="543">
        <f t="shared" si="217"/>
        <v>0</v>
      </c>
      <c r="BV137" s="543">
        <f t="shared" si="218"/>
        <v>2.8350000000000011E-2</v>
      </c>
      <c r="BW137" s="470">
        <f t="shared" si="219"/>
        <v>57.150000000000013</v>
      </c>
      <c r="BX137" s="178">
        <f t="shared" si="220"/>
        <v>0.28556138607349291</v>
      </c>
      <c r="BY137" s="6">
        <f t="shared" si="221"/>
        <v>2.5920000000000005</v>
      </c>
      <c r="BZ137" s="178">
        <f t="shared" si="222"/>
        <v>0.90076271267208363</v>
      </c>
      <c r="CA137" s="6">
        <f t="shared" si="223"/>
        <v>90.076271267208369</v>
      </c>
      <c r="CD137" s="577">
        <f t="shared" si="224"/>
        <v>-50</v>
      </c>
      <c r="CE137">
        <f t="shared" si="225"/>
        <v>-50</v>
      </c>
    </row>
    <row r="138" spans="5:83" x14ac:dyDescent="0.2">
      <c r="E138" s="175">
        <v>28</v>
      </c>
      <c r="F138" s="222">
        <f t="shared" si="226"/>
        <v>0.22400000000000003</v>
      </c>
      <c r="G138" s="222"/>
      <c r="H138" s="222">
        <f t="shared" si="177"/>
        <v>2.6880000000000006</v>
      </c>
      <c r="I138" s="556">
        <f t="shared" si="178"/>
        <v>9</v>
      </c>
      <c r="J138" s="452">
        <f t="shared" si="179"/>
        <v>12.25</v>
      </c>
      <c r="K138" s="452">
        <f t="shared" si="180"/>
        <v>21.25</v>
      </c>
      <c r="L138" s="452"/>
      <c r="M138" s="222">
        <f t="shared" si="181"/>
        <v>0.57647058823529407</v>
      </c>
      <c r="N138" s="177">
        <f t="shared" si="227"/>
        <v>10.104088235294114</v>
      </c>
      <c r="O138" s="177">
        <f t="shared" si="231"/>
        <v>2.6880000000000006</v>
      </c>
      <c r="P138" s="222">
        <f t="shared" si="182"/>
        <v>0.84200735294117612</v>
      </c>
      <c r="Q138" s="222">
        <f t="shared" si="183"/>
        <v>12</v>
      </c>
      <c r="R138" s="222"/>
      <c r="S138" s="177">
        <f t="shared" si="184"/>
        <v>69.280127929919743</v>
      </c>
      <c r="T138" s="177">
        <f t="shared" si="185"/>
        <v>12</v>
      </c>
      <c r="U138" s="222">
        <f t="shared" si="186"/>
        <v>1.090726817042607</v>
      </c>
      <c r="V138" s="222">
        <f t="shared" si="187"/>
        <v>0.84834307992202773</v>
      </c>
      <c r="W138" s="222">
        <f t="shared" si="188"/>
        <v>0.62327246688148974</v>
      </c>
      <c r="X138" s="202">
        <f t="shared" si="189"/>
        <v>350</v>
      </c>
      <c r="Y138" s="452">
        <f t="shared" si="190"/>
        <v>350</v>
      </c>
      <c r="AA138" s="222">
        <f t="shared" si="191"/>
        <v>2.1176470588235294</v>
      </c>
      <c r="AB138" s="178">
        <f t="shared" si="192"/>
        <v>1.2100840336134453</v>
      </c>
      <c r="AC138" s="178">
        <f t="shared" si="193"/>
        <v>0.4484429065743944</v>
      </c>
      <c r="AD138" s="178"/>
      <c r="AE138" s="178">
        <f t="shared" si="194"/>
        <v>0.46857142857142853</v>
      </c>
      <c r="AF138" s="560">
        <f>MAX(12000,F138/(0.5*AE138/1000000*Isw_min*Nps))/1000</f>
        <v>1165.97263533611</v>
      </c>
      <c r="AG138" s="543">
        <f t="shared" si="195"/>
        <v>6.723999999999998E-2</v>
      </c>
      <c r="AI138" s="178">
        <f t="shared" si="196"/>
        <v>1.4966629547095767</v>
      </c>
      <c r="AJ138" s="178">
        <f t="shared" si="197"/>
        <v>1.4966629547095767</v>
      </c>
      <c r="AK138" s="178">
        <f t="shared" si="198"/>
        <v>1.7012318183033901</v>
      </c>
      <c r="AM138" s="560">
        <f t="shared" si="199"/>
        <v>224.00000000000003</v>
      </c>
      <c r="AN138" s="470">
        <f t="shared" si="200"/>
        <v>350</v>
      </c>
      <c r="AP138" s="470">
        <f t="shared" si="201"/>
        <v>224.00000000000003</v>
      </c>
      <c r="AQ138" s="470">
        <f t="shared" si="202"/>
        <v>350</v>
      </c>
      <c r="AS138" s="6">
        <f t="shared" si="232"/>
        <v>2.8571428571428572</v>
      </c>
      <c r="AT138" s="6">
        <f t="shared" si="203"/>
        <v>1.1640711869963374</v>
      </c>
      <c r="AU138" s="6">
        <f t="shared" si="204"/>
        <v>1.6930716701465198</v>
      </c>
      <c r="AV138" s="6"/>
      <c r="AW138" s="178">
        <f t="shared" si="205"/>
        <v>0.40742491544871806</v>
      </c>
      <c r="AX138" s="178">
        <f t="shared" si="228"/>
        <v>2.7440000000000002</v>
      </c>
      <c r="AY138" s="178">
        <f t="shared" si="229"/>
        <v>0.4434425884658994</v>
      </c>
      <c r="AZ138" s="178">
        <f t="shared" si="233"/>
        <v>6.1879487252068772</v>
      </c>
      <c r="BA138" s="470">
        <f>L*Isw_max^2/(2*Vout_ripple*Vout)*1000000000*((1+M138)/2)^2</f>
        <v>25.385458958093036</v>
      </c>
      <c r="BB138" s="470">
        <f>L*F138^2/(2*Cout*Vout*Nps^2)*1000000000*((1+M138)/(1-M138))^2+F138*RCoutEsr</f>
        <v>4.9860936870676831</v>
      </c>
      <c r="BC138" s="6">
        <f t="shared" si="206"/>
        <v>0.78855995656986722</v>
      </c>
      <c r="BD138" s="470">
        <f>((BY138/I138/Efficiency)*AU138/Cin+(BY138/I138/Efficiency)*RCinEsr)*1000</f>
        <v>54.170954963202888</v>
      </c>
      <c r="BF138" s="178">
        <f t="shared" si="234"/>
        <v>0.55155290184627148</v>
      </c>
      <c r="BG138" s="178">
        <f t="shared" si="230"/>
        <v>0.66517370899008321</v>
      </c>
      <c r="BI138" s="543">
        <f t="shared" si="207"/>
        <v>3.3463166388854701E-2</v>
      </c>
      <c r="BJ138" s="543">
        <f t="shared" si="208"/>
        <v>5.5657153628262374E-2</v>
      </c>
      <c r="BK138" s="543">
        <f t="shared" si="209"/>
        <v>1.7499999999999998E-2</v>
      </c>
      <c r="BL138" s="543">
        <f t="shared" si="210"/>
        <v>3.5560546875000001E-2</v>
      </c>
      <c r="BM138">
        <f t="shared" si="211"/>
        <v>2.6099999999999999E-3</v>
      </c>
      <c r="BN138" s="470">
        <f t="shared" si="212"/>
        <v>144.79086689211707</v>
      </c>
      <c r="BO138" s="543">
        <f t="shared" si="213"/>
        <v>8.9600000000000013E-2</v>
      </c>
      <c r="BR138" s="470">
        <f t="shared" si="214"/>
        <v>89.600000000000009</v>
      </c>
      <c r="BS138" s="543">
        <f t="shared" si="215"/>
        <v>1.216842414140171E-2</v>
      </c>
      <c r="BT138" s="543">
        <f t="shared" si="216"/>
        <v>1.7698242525264956E-2</v>
      </c>
      <c r="BU138" s="543">
        <f t="shared" si="217"/>
        <v>0</v>
      </c>
      <c r="BV138" s="543">
        <f t="shared" si="218"/>
        <v>2.9400000000000009E-2</v>
      </c>
      <c r="BW138" s="470">
        <f t="shared" si="219"/>
        <v>59.266666666666673</v>
      </c>
      <c r="BX138" s="178">
        <f t="shared" si="220"/>
        <v>0.29365753355878377</v>
      </c>
      <c r="BY138" s="6">
        <f t="shared" si="221"/>
        <v>2.6880000000000006</v>
      </c>
      <c r="BZ138" s="178">
        <f t="shared" si="222"/>
        <v>0.90151198444031688</v>
      </c>
      <c r="CA138" s="6">
        <f t="shared" si="223"/>
        <v>90.151198444031692</v>
      </c>
      <c r="CD138" s="577">
        <f t="shared" si="224"/>
        <v>-50</v>
      </c>
      <c r="CE138">
        <f t="shared" si="225"/>
        <v>-50</v>
      </c>
    </row>
    <row r="139" spans="5:83" x14ac:dyDescent="0.2">
      <c r="E139" s="175">
        <v>29</v>
      </c>
      <c r="F139" s="222">
        <f t="shared" si="226"/>
        <v>0.23199999999999998</v>
      </c>
      <c r="G139" s="222"/>
      <c r="H139" s="222">
        <f t="shared" si="177"/>
        <v>2.7839999999999998</v>
      </c>
      <c r="I139" s="556">
        <f t="shared" si="178"/>
        <v>9</v>
      </c>
      <c r="J139" s="452">
        <f t="shared" si="179"/>
        <v>12.25</v>
      </c>
      <c r="K139" s="452">
        <f t="shared" si="180"/>
        <v>21.25</v>
      </c>
      <c r="L139" s="452"/>
      <c r="M139" s="222">
        <f t="shared" si="181"/>
        <v>0.57647058823529407</v>
      </c>
      <c r="N139" s="177">
        <f t="shared" si="227"/>
        <v>10.104088235294114</v>
      </c>
      <c r="O139" s="177">
        <f t="shared" si="231"/>
        <v>2.7839999999999998</v>
      </c>
      <c r="P139" s="222">
        <f t="shared" si="182"/>
        <v>0.84200735294117612</v>
      </c>
      <c r="Q139" s="222">
        <f t="shared" si="183"/>
        <v>12</v>
      </c>
      <c r="R139" s="222"/>
      <c r="S139" s="177">
        <f t="shared" si="184"/>
        <v>66.583234850537337</v>
      </c>
      <c r="T139" s="177">
        <f t="shared" si="185"/>
        <v>12</v>
      </c>
      <c r="U139" s="222">
        <f t="shared" si="186"/>
        <v>1.1296813462226998</v>
      </c>
      <c r="V139" s="222">
        <f t="shared" si="187"/>
        <v>0.87864104706209989</v>
      </c>
      <c r="W139" s="222">
        <f t="shared" si="188"/>
        <v>0.64553219784154281</v>
      </c>
      <c r="X139" s="202">
        <f t="shared" si="189"/>
        <v>350</v>
      </c>
      <c r="Y139" s="452">
        <f t="shared" si="190"/>
        <v>350</v>
      </c>
      <c r="AA139" s="222">
        <f t="shared" si="191"/>
        <v>2.1176470588235294</v>
      </c>
      <c r="AB139" s="178">
        <f t="shared" si="192"/>
        <v>1.2100840336134453</v>
      </c>
      <c r="AC139" s="178">
        <f t="shared" si="193"/>
        <v>0.4484429065743944</v>
      </c>
      <c r="AD139" s="178"/>
      <c r="AE139" s="178">
        <f t="shared" si="194"/>
        <v>0.46857142857142853</v>
      </c>
      <c r="AF139" s="560">
        <f>MAX(12000,F139/(0.5*AE139/1000000*Isw_min*Nps))/1000</f>
        <v>1207.6145151695421</v>
      </c>
      <c r="AG139" s="543">
        <f t="shared" si="195"/>
        <v>6.723999999999998E-2</v>
      </c>
      <c r="AI139" s="178">
        <f t="shared" si="196"/>
        <v>1.5231546211727816</v>
      </c>
      <c r="AJ139" s="178">
        <f t="shared" si="197"/>
        <v>1.5231546211727816</v>
      </c>
      <c r="AK139" s="178">
        <f t="shared" si="198"/>
        <v>1.7208552749428012</v>
      </c>
      <c r="AM139" s="560">
        <f t="shared" si="199"/>
        <v>231.99999999999997</v>
      </c>
      <c r="AN139" s="470">
        <f t="shared" si="200"/>
        <v>350</v>
      </c>
      <c r="AP139" s="470">
        <f t="shared" si="201"/>
        <v>231.99999999999997</v>
      </c>
      <c r="AQ139" s="470">
        <f t="shared" si="202"/>
        <v>350</v>
      </c>
      <c r="AS139" s="6">
        <f t="shared" si="232"/>
        <v>2.8571428571428572</v>
      </c>
      <c r="AT139" s="6">
        <f t="shared" si="203"/>
        <v>1.1846758164677191</v>
      </c>
      <c r="AU139" s="6">
        <f t="shared" si="204"/>
        <v>1.6724670406751381</v>
      </c>
      <c r="AV139" s="6"/>
      <c r="AW139" s="178">
        <f t="shared" si="205"/>
        <v>0.41463653576370169</v>
      </c>
      <c r="AX139" s="178">
        <f t="shared" si="228"/>
        <v>2.8419999999999996</v>
      </c>
      <c r="AY139" s="178">
        <f t="shared" si="229"/>
        <v>0.44579953280861306</v>
      </c>
      <c r="AZ139" s="178">
        <f t="shared" si="233"/>
        <v>6.3750627599246572</v>
      </c>
      <c r="BA139" s="470">
        <f>L*Isw_max^2/(2*Vout_ripple*Vout)*1000000000*((1+M139)/2)^2</f>
        <v>25.385458958093036</v>
      </c>
      <c r="BB139" s="470">
        <f>L*F139^2/(2*Cout*Vout*Nps^2)*1000000000*((1+M139)/(1-M139))^2+F139*RCoutEsr</f>
        <v>5.3237459066631629</v>
      </c>
      <c r="BC139" s="6">
        <f t="shared" si="206"/>
        <v>0.80678332098584959</v>
      </c>
      <c r="BD139" s="470">
        <f>((BY139/I139/Efficiency)*AU139/Cin+(BY139/I139/Efficiency)*RCinEsr)*1000</f>
        <v>55.434716271807993</v>
      </c>
      <c r="BF139" s="178">
        <f t="shared" si="234"/>
        <v>0.56626164828984249</v>
      </c>
      <c r="BG139" s="178">
        <f t="shared" si="230"/>
        <v>0.67281578385870522</v>
      </c>
      <c r="BI139" s="543">
        <f t="shared" si="207"/>
        <v>3.527174797563222E-2</v>
      </c>
      <c r="BJ139" s="543">
        <f t="shared" si="208"/>
        <v>5.6642312474862816E-2</v>
      </c>
      <c r="BK139" s="543">
        <f t="shared" si="209"/>
        <v>1.7499999999999998E-2</v>
      </c>
      <c r="BL139" s="543">
        <f t="shared" si="210"/>
        <v>3.5560546875000001E-2</v>
      </c>
      <c r="BM139">
        <f t="shared" si="211"/>
        <v>2.6099999999999999E-3</v>
      </c>
      <c r="BN139" s="470">
        <f t="shared" si="212"/>
        <v>147.58460732549506</v>
      </c>
      <c r="BO139" s="543">
        <f t="shared" si="213"/>
        <v>9.2799999999999994E-2</v>
      </c>
      <c r="BR139" s="470">
        <f t="shared" si="214"/>
        <v>92.8</v>
      </c>
      <c r="BS139" s="543">
        <f t="shared" si="215"/>
        <v>1.2826090172957173E-2</v>
      </c>
      <c r="BT139" s="543">
        <f t="shared" si="216"/>
        <v>1.8107243160376159E-2</v>
      </c>
      <c r="BU139" s="543">
        <f t="shared" si="217"/>
        <v>0</v>
      </c>
      <c r="BV139" s="543">
        <f t="shared" si="218"/>
        <v>3.0450000000000005E-2</v>
      </c>
      <c r="BW139" s="470">
        <f t="shared" si="219"/>
        <v>61.38333333333334</v>
      </c>
      <c r="BX139" s="178">
        <f t="shared" si="220"/>
        <v>0.30176794065882839</v>
      </c>
      <c r="BY139" s="6">
        <f t="shared" si="221"/>
        <v>2.7839999999999998</v>
      </c>
      <c r="BZ139" s="178">
        <f t="shared" si="222"/>
        <v>0.90220653449578603</v>
      </c>
      <c r="CA139" s="6">
        <f t="shared" si="223"/>
        <v>90.220653449578606</v>
      </c>
      <c r="CD139" s="577">
        <f t="shared" si="224"/>
        <v>-50</v>
      </c>
      <c r="CE139">
        <f t="shared" si="225"/>
        <v>-50</v>
      </c>
    </row>
    <row r="140" spans="5:83" x14ac:dyDescent="0.2">
      <c r="E140" s="175">
        <v>30</v>
      </c>
      <c r="F140" s="222">
        <f t="shared" si="226"/>
        <v>0.24</v>
      </c>
      <c r="G140" s="222"/>
      <c r="H140" s="222">
        <f t="shared" si="177"/>
        <v>2.88</v>
      </c>
      <c r="I140" s="556">
        <f t="shared" si="178"/>
        <v>9</v>
      </c>
      <c r="J140" s="452">
        <f t="shared" si="179"/>
        <v>12.25</v>
      </c>
      <c r="K140" s="452">
        <f t="shared" si="180"/>
        <v>21.25</v>
      </c>
      <c r="L140" s="452"/>
      <c r="M140" s="222">
        <f t="shared" si="181"/>
        <v>0.57647058823529407</v>
      </c>
      <c r="N140" s="177">
        <f t="shared" si="227"/>
        <v>10.104088235294114</v>
      </c>
      <c r="O140" s="177">
        <f t="shared" si="231"/>
        <v>2.88</v>
      </c>
      <c r="P140" s="222">
        <f t="shared" si="182"/>
        <v>0.84200735294117612</v>
      </c>
      <c r="Q140" s="222">
        <f t="shared" si="183"/>
        <v>12</v>
      </c>
      <c r="R140" s="222"/>
      <c r="S140" s="177">
        <f t="shared" si="184"/>
        <v>64.066233391926716</v>
      </c>
      <c r="T140" s="177">
        <f t="shared" si="185"/>
        <v>12</v>
      </c>
      <c r="U140" s="222">
        <f t="shared" si="186"/>
        <v>1.1686358754027928</v>
      </c>
      <c r="V140" s="222">
        <f t="shared" si="187"/>
        <v>0.90893901420217227</v>
      </c>
      <c r="W140" s="222">
        <f t="shared" si="188"/>
        <v>0.66779192880159588</v>
      </c>
      <c r="X140" s="202">
        <f t="shared" si="189"/>
        <v>350</v>
      </c>
      <c r="Y140" s="452">
        <f t="shared" si="190"/>
        <v>350</v>
      </c>
      <c r="AA140" s="222">
        <f t="shared" si="191"/>
        <v>2.1176470588235294</v>
      </c>
      <c r="AB140" s="178">
        <f t="shared" si="192"/>
        <v>1.2100840336134453</v>
      </c>
      <c r="AC140" s="178">
        <f t="shared" si="193"/>
        <v>0.4484429065743944</v>
      </c>
      <c r="AD140" s="178"/>
      <c r="AE140" s="178">
        <f t="shared" si="194"/>
        <v>0.46857142857142853</v>
      </c>
      <c r="AF140" s="560">
        <f>MAX(12000,F140/(0.5*AE140/1000000*Isw_min*Nps))/1000</f>
        <v>1249.2563950029746</v>
      </c>
      <c r="AG140" s="543">
        <f t="shared" si="195"/>
        <v>6.723999999999998E-2</v>
      </c>
      <c r="AI140" s="178">
        <f t="shared" si="196"/>
        <v>1.5491933384829668</v>
      </c>
      <c r="AJ140" s="178">
        <f t="shared" si="197"/>
        <v>1.5491933384829668</v>
      </c>
      <c r="AK140" s="178">
        <f t="shared" si="198"/>
        <v>1.7401432136910864</v>
      </c>
      <c r="AM140" s="560">
        <f t="shared" si="199"/>
        <v>240</v>
      </c>
      <c r="AN140" s="470">
        <f t="shared" si="200"/>
        <v>350</v>
      </c>
      <c r="AP140" s="470">
        <f t="shared" si="201"/>
        <v>240</v>
      </c>
      <c r="AQ140" s="470">
        <f t="shared" si="202"/>
        <v>350</v>
      </c>
      <c r="AS140" s="6">
        <f t="shared" si="232"/>
        <v>2.8571428571428572</v>
      </c>
      <c r="AT140" s="6">
        <f t="shared" si="203"/>
        <v>1.2049281521534185</v>
      </c>
      <c r="AU140" s="6">
        <f t="shared" si="204"/>
        <v>1.6522147049894387</v>
      </c>
      <c r="AV140" s="6"/>
      <c r="AW140" s="178">
        <f t="shared" si="205"/>
        <v>0.42172485325369646</v>
      </c>
      <c r="AX140" s="178">
        <f t="shared" si="228"/>
        <v>2.9400000000000004</v>
      </c>
      <c r="AY140" s="178">
        <f t="shared" si="229"/>
        <v>0.44793000257481674</v>
      </c>
      <c r="AZ140" s="178">
        <f t="shared" si="233"/>
        <v>6.5635255131384929</v>
      </c>
      <c r="BA140" s="470">
        <f>L*Isw_max^2/(2*Vout_ripple*Vout)*1000000000*((1+M140)/2)^2</f>
        <v>25.385458958093036</v>
      </c>
      <c r="BB140" s="470">
        <f>L*F140^2/(2*Cout*Vout*Nps^2)*1000000000*((1+M140)/(1-M140))^2+F140*RCoutEsr</f>
        <v>5.6724034672970829</v>
      </c>
      <c r="BC140" s="6">
        <f t="shared" si="206"/>
        <v>0.82449700677835525</v>
      </c>
      <c r="BD140" s="470">
        <f>((BY140/I140/Efficiency)*AU140/Cin+(BY140/I140/Efficiency)*RCinEsr)*1000</f>
        <v>56.664074273328474</v>
      </c>
      <c r="BF140" s="178">
        <f t="shared" si="234"/>
        <v>0.58084411213591314</v>
      </c>
      <c r="BG140" s="178">
        <f t="shared" si="230"/>
        <v>0.68016183177023604</v>
      </c>
      <c r="BI140" s="543">
        <f t="shared" si="207"/>
        <v>3.7111787086325301E-2</v>
      </c>
      <c r="BJ140" s="543">
        <f t="shared" si="208"/>
        <v>5.7610627274835333E-2</v>
      </c>
      <c r="BK140" s="543">
        <f t="shared" si="209"/>
        <v>1.7499999999999998E-2</v>
      </c>
      <c r="BL140" s="543">
        <f t="shared" si="210"/>
        <v>3.5560546875000001E-2</v>
      </c>
      <c r="BM140">
        <f t="shared" si="211"/>
        <v>2.6099999999999999E-3</v>
      </c>
      <c r="BN140" s="470">
        <f t="shared" si="212"/>
        <v>150.39296123616063</v>
      </c>
      <c r="BO140" s="543">
        <f t="shared" si="213"/>
        <v>9.6000000000000002E-2</v>
      </c>
      <c r="BR140" s="470">
        <f t="shared" si="214"/>
        <v>96</v>
      </c>
      <c r="BS140" s="543">
        <f t="shared" si="215"/>
        <v>1.3495195304118291E-2</v>
      </c>
      <c r="BT140" s="543">
        <f t="shared" si="216"/>
        <v>1.8504804695881713E-2</v>
      </c>
      <c r="BU140" s="543">
        <f t="shared" si="217"/>
        <v>0</v>
      </c>
      <c r="BV140" s="543">
        <f t="shared" si="218"/>
        <v>3.1500000000000007E-2</v>
      </c>
      <c r="BW140" s="470">
        <f t="shared" si="219"/>
        <v>63.5</v>
      </c>
      <c r="BX140" s="178">
        <f t="shared" si="220"/>
        <v>0.30989296123616067</v>
      </c>
      <c r="BY140" s="6">
        <f t="shared" si="221"/>
        <v>2.88</v>
      </c>
      <c r="BZ140" s="178">
        <f t="shared" si="222"/>
        <v>0.90285161132301139</v>
      </c>
      <c r="CA140" s="6">
        <f t="shared" si="223"/>
        <v>90.285161132301141</v>
      </c>
      <c r="CD140" s="577">
        <f t="shared" si="224"/>
        <v>-50</v>
      </c>
      <c r="CE140">
        <f t="shared" si="225"/>
        <v>-50</v>
      </c>
    </row>
    <row r="141" spans="5:83" x14ac:dyDescent="0.2">
      <c r="E141" s="175">
        <v>31</v>
      </c>
      <c r="F141" s="222">
        <f t="shared" si="226"/>
        <v>0.248</v>
      </c>
      <c r="G141" s="222"/>
      <c r="H141" s="222">
        <f t="shared" si="177"/>
        <v>2.976</v>
      </c>
      <c r="I141" s="556">
        <f t="shared" si="178"/>
        <v>9</v>
      </c>
      <c r="J141" s="452">
        <f t="shared" si="179"/>
        <v>12.25</v>
      </c>
      <c r="K141" s="452">
        <f t="shared" si="180"/>
        <v>21.25</v>
      </c>
      <c r="L141" s="452"/>
      <c r="M141" s="222">
        <f t="shared" si="181"/>
        <v>0.57647058823529407</v>
      </c>
      <c r="N141" s="177">
        <f t="shared" si="227"/>
        <v>10.104088235294114</v>
      </c>
      <c r="O141" s="177">
        <f t="shared" si="231"/>
        <v>2.976</v>
      </c>
      <c r="P141" s="222">
        <f t="shared" si="182"/>
        <v>0.84200735294117612</v>
      </c>
      <c r="Q141" s="222">
        <f t="shared" si="183"/>
        <v>12</v>
      </c>
      <c r="R141" s="222"/>
      <c r="S141" s="177">
        <f t="shared" si="184"/>
        <v>61.711715970938549</v>
      </c>
      <c r="T141" s="177">
        <f t="shared" si="185"/>
        <v>12</v>
      </c>
      <c r="U141" s="222">
        <f t="shared" si="186"/>
        <v>1.207590404582886</v>
      </c>
      <c r="V141" s="222">
        <f t="shared" si="187"/>
        <v>0.93923698134224454</v>
      </c>
      <c r="W141" s="222">
        <f t="shared" si="188"/>
        <v>0.69005165976164906</v>
      </c>
      <c r="X141" s="202">
        <f t="shared" si="189"/>
        <v>350</v>
      </c>
      <c r="Y141" s="452">
        <f t="shared" si="190"/>
        <v>350</v>
      </c>
      <c r="AA141" s="222">
        <f t="shared" si="191"/>
        <v>2.1176470588235294</v>
      </c>
      <c r="AB141" s="178">
        <f t="shared" si="192"/>
        <v>1.2100840336134453</v>
      </c>
      <c r="AC141" s="178">
        <f t="shared" si="193"/>
        <v>0.4484429065743944</v>
      </c>
      <c r="AD141" s="178"/>
      <c r="AE141" s="178">
        <f t="shared" si="194"/>
        <v>0.46857142857142853</v>
      </c>
      <c r="AF141" s="560">
        <f>MAX(12000,F141/(0.5*AE141/1000000*Isw_min*Nps))/1000</f>
        <v>1290.8982748364072</v>
      </c>
      <c r="AG141" s="543">
        <f t="shared" si="195"/>
        <v>6.723999999999998E-2</v>
      </c>
      <c r="AI141" s="178">
        <f t="shared" si="196"/>
        <v>1.5748015748023623</v>
      </c>
      <c r="AJ141" s="178">
        <f t="shared" si="197"/>
        <v>1.5748015748023623</v>
      </c>
      <c r="AK141" s="178">
        <f t="shared" si="198"/>
        <v>1.7591122776313795</v>
      </c>
      <c r="AM141" s="560">
        <f t="shared" si="199"/>
        <v>248</v>
      </c>
      <c r="AN141" s="470">
        <f t="shared" si="200"/>
        <v>350</v>
      </c>
      <c r="AP141" s="470">
        <f t="shared" si="201"/>
        <v>248</v>
      </c>
      <c r="AQ141" s="470">
        <f t="shared" si="202"/>
        <v>350</v>
      </c>
      <c r="AS141" s="6">
        <f t="shared" si="232"/>
        <v>2.8571428571428572</v>
      </c>
      <c r="AT141" s="6">
        <f t="shared" si="203"/>
        <v>1.2248456692907264</v>
      </c>
      <c r="AU141" s="6">
        <f t="shared" si="204"/>
        <v>1.6322971878521308</v>
      </c>
      <c r="AV141" s="6"/>
      <c r="AW141" s="178">
        <f t="shared" si="205"/>
        <v>0.4286959842517542</v>
      </c>
      <c r="AX141" s="178">
        <f t="shared" si="228"/>
        <v>3.0380000000000007</v>
      </c>
      <c r="AY141" s="178">
        <f t="shared" si="229"/>
        <v>0.44984523184562558</v>
      </c>
      <c r="AZ141" s="178">
        <f t="shared" si="233"/>
        <v>6.7534338144158834</v>
      </c>
      <c r="BA141" s="470">
        <f>L*Isw_max^2/(2*Vout_ripple*Vout)*1000000000*((1+M141)/2)^2</f>
        <v>25.385458958093036</v>
      </c>
      <c r="BB141" s="470">
        <f>L*F141^2/(2*Cout*Vout*Nps^2)*1000000000*((1+M141)/(1-M141))^2+F141*RCoutEsr</f>
        <v>6.0320663689694412</v>
      </c>
      <c r="BC141" s="6">
        <f t="shared" si="206"/>
        <v>0.84170958302758359</v>
      </c>
      <c r="BD141" s="470">
        <f>((BY141/I141/Efficiency)*AU141/Cin+(BY141/I141/Efficiency)*RCinEsr)*1000</f>
        <v>57.859607380677687</v>
      </c>
      <c r="BF141" s="178">
        <f t="shared" si="234"/>
        <v>0.59530553526301389</v>
      </c>
      <c r="BG141" s="178">
        <f t="shared" si="230"/>
        <v>0.68722484410262941</v>
      </c>
      <c r="BI141" s="543">
        <f t="shared" si="207"/>
        <v>3.8982754834626182E-2</v>
      </c>
      <c r="BJ141" s="543">
        <f t="shared" si="208"/>
        <v>5.8562933562962854E-2</v>
      </c>
      <c r="BK141" s="543">
        <f t="shared" si="209"/>
        <v>1.7499999999999998E-2</v>
      </c>
      <c r="BL141" s="543">
        <f t="shared" si="210"/>
        <v>3.5560546875000001E-2</v>
      </c>
      <c r="BM141">
        <f t="shared" si="211"/>
        <v>2.6099999999999999E-3</v>
      </c>
      <c r="BN141" s="470">
        <f t="shared" si="212"/>
        <v>153.21623527258905</v>
      </c>
      <c r="BO141" s="543">
        <f t="shared" si="213"/>
        <v>9.920000000000001E-2</v>
      </c>
      <c r="BR141" s="470">
        <f t="shared" si="214"/>
        <v>99.200000000000017</v>
      </c>
      <c r="BS141" s="543">
        <f t="shared" si="215"/>
        <v>1.4175547212591341E-2</v>
      </c>
      <c r="BT141" s="543">
        <f t="shared" si="216"/>
        <v>1.8891119454075331E-2</v>
      </c>
      <c r="BU141" s="543">
        <f t="shared" si="217"/>
        <v>0</v>
      </c>
      <c r="BV141" s="543">
        <f t="shared" si="218"/>
        <v>3.2550000000000009E-2</v>
      </c>
      <c r="BW141" s="470">
        <f t="shared" si="219"/>
        <v>65.616666666666688</v>
      </c>
      <c r="BX141" s="178">
        <f t="shared" si="220"/>
        <v>0.31803290193925576</v>
      </c>
      <c r="BY141" s="6">
        <f t="shared" si="221"/>
        <v>2.976</v>
      </c>
      <c r="BZ141" s="178">
        <f t="shared" si="222"/>
        <v>0.90345181380792394</v>
      </c>
      <c r="CA141" s="6">
        <f t="shared" si="223"/>
        <v>90.345181380792397</v>
      </c>
      <c r="CD141" s="577">
        <f t="shared" si="224"/>
        <v>-50</v>
      </c>
      <c r="CE141">
        <f t="shared" si="225"/>
        <v>-50</v>
      </c>
    </row>
    <row r="142" spans="5:83" x14ac:dyDescent="0.2">
      <c r="E142" s="175">
        <v>32</v>
      </c>
      <c r="F142" s="222">
        <f t="shared" si="226"/>
        <v>0.25600000000000001</v>
      </c>
      <c r="G142" s="222"/>
      <c r="H142" s="222">
        <f t="shared" ref="H142:H173" si="235">F142*Vout</f>
        <v>3.0720000000000001</v>
      </c>
      <c r="I142" s="556">
        <f t="shared" ref="I142:I173" si="236">VIN_min</f>
        <v>9</v>
      </c>
      <c r="J142" s="452">
        <f t="shared" ref="J142:J173" si="237">(T142+Vfwd1)*Nps</f>
        <v>12.25</v>
      </c>
      <c r="K142" s="452">
        <f t="shared" ref="K142:K173" si="238">(Vout+Vfwd1)*Nps+I142</f>
        <v>21.25</v>
      </c>
      <c r="L142" s="452"/>
      <c r="M142" s="222">
        <f t="shared" ref="M142:M173" si="239">(Vout+Vfwd1)*Nps/((Vout+Vfwd1)*Nps+I142)</f>
        <v>0.57647058823529407</v>
      </c>
      <c r="N142" s="177">
        <f t="shared" ref="N142:N173" si="240">M142*I142*Isw_max*0.5*Efficiency</f>
        <v>10.104088235294114</v>
      </c>
      <c r="O142" s="177">
        <f t="shared" si="231"/>
        <v>3.0720000000000001</v>
      </c>
      <c r="P142" s="222">
        <f t="shared" ref="P142:P173" si="241">N142/Vout</f>
        <v>0.84200735294117612</v>
      </c>
      <c r="Q142" s="222">
        <f t="shared" ref="Q142:Q173" si="242">MIN(Vout,N142/F142)</f>
        <v>12</v>
      </c>
      <c r="R142" s="222"/>
      <c r="S142" s="177">
        <f t="shared" ref="S142:S173" si="243">(SQRT(Isw_max^2*Nps^2*I142^2+4*Isw_max*F142/Efficiency*(Nps^2*Vfwd1*I142-Nps*I142^2)+4*(F142/Efficiency)^2*Nps^2*Vfwd1^2+8*(F142/Efficiency)^2*Nps*Vfwd1*I142+4*(F142/Efficiency)^2*I142^2)-2*F142/Efficiency*I142-2*F142/Efficiency*Nps*Vfwd1+Isw_max*Nps*I142)/(4*F142/Efficiency*Nps)</f>
        <v>59.504450973788167</v>
      </c>
      <c r="T142" s="177">
        <f t="shared" ref="T142:T173" si="244">MIN(Vout, S142)</f>
        <v>12</v>
      </c>
      <c r="U142" s="222">
        <f t="shared" ref="U142:U173" si="245">MIN(2*Vout*F142/(Efficiency*I142*M142), Isw_max)</f>
        <v>1.2465449337629793</v>
      </c>
      <c r="V142" s="222">
        <f t="shared" ref="V142:V173" si="246">L*U142/I142*1000000</f>
        <v>0.96953494848231725</v>
      </c>
      <c r="W142" s="222">
        <f t="shared" ref="W142:W173" si="247">L*U142/J142*1000000</f>
        <v>0.71231139072170246</v>
      </c>
      <c r="X142" s="202">
        <f t="shared" ref="X142:X173" si="248">IF(1/((350000*L)*(1/I142+1/J142))&gt;Isw_min, 350, 0.001/((Isw_min*L)*(1/I142+1/J142)))</f>
        <v>350</v>
      </c>
      <c r="Y142" s="452">
        <f t="shared" si="190"/>
        <v>350</v>
      </c>
      <c r="AA142" s="222">
        <f t="shared" ref="AA142:AA173" si="249">1/((X142*1000*L)*(1/I142+1/J142))</f>
        <v>2.1176470588235294</v>
      </c>
      <c r="AB142" s="178">
        <f t="shared" ref="AB142:AB173" si="250">L*AA142/J142*1000000</f>
        <v>1.2100840336134453</v>
      </c>
      <c r="AC142" s="178">
        <f t="shared" ref="AC142:AC173" si="251">0.5*AB142*AA142*Nps*X142/1000</f>
        <v>0.4484429065743944</v>
      </c>
      <c r="AD142" s="178"/>
      <c r="AE142" s="178">
        <f t="shared" ref="AE142:AE173" si="252">L*Isw_min/J142*1000000</f>
        <v>0.46857142857142853</v>
      </c>
      <c r="AF142" s="560">
        <f>MAX(12000,F142/(0.5*AE142/1000000*Isw_min*Nps))/1000</f>
        <v>1332.5401546698397</v>
      </c>
      <c r="AG142" s="543">
        <f t="shared" ref="AG142:AG173" si="253">0.5*AE142/1000000*Isw_min*Nps*X142*1000</f>
        <v>6.723999999999998E-2</v>
      </c>
      <c r="AI142" s="178">
        <f t="shared" ref="AI142:AI173" si="254">SQRT(F142/(0.5*L/J142*Fsw_DCM*Nps))</f>
        <v>1.6</v>
      </c>
      <c r="AJ142" s="178">
        <f t="shared" ref="AJ142:AJ173" si="255">MAX(IF(F142&gt;AC142,U142,AI142),Isw_min)</f>
        <v>1.6</v>
      </c>
      <c r="AK142" s="178">
        <f t="shared" ref="AK142:AK173" si="256">IF(F142&gt;AG142, (AJ142-Isw_min)/1.08*0.8+1.2, AF142*0.2/350+1)</f>
        <v>1.7777777777777777</v>
      </c>
      <c r="AM142" s="560">
        <f t="shared" ref="AM142:AM173" si="257">F142*1000</f>
        <v>256</v>
      </c>
      <c r="AN142" s="470">
        <f t="shared" ref="AN142:AN173" si="258">IF(F142&gt;AG142, Y142, AF142)</f>
        <v>350</v>
      </c>
      <c r="AP142" s="470">
        <f t="shared" ref="AP142:AP173" si="259">IF(H142&gt;N142, "",AM142)</f>
        <v>256</v>
      </c>
      <c r="AQ142" s="470">
        <f t="shared" ref="AQ142:AQ173" si="260">IF(H142&gt;N142, "",AN142)</f>
        <v>350</v>
      </c>
      <c r="AS142" s="6">
        <f t="shared" si="232"/>
        <v>2.8571428571428572</v>
      </c>
      <c r="AT142" s="6">
        <f t="shared" ref="AT142:AT173" si="261">L*AJ142/I142*1000000</f>
        <v>1.2444444444444445</v>
      </c>
      <c r="AU142" s="6">
        <f t="shared" si="204"/>
        <v>1.6126984126984127</v>
      </c>
      <c r="AV142" s="6"/>
      <c r="AW142" s="178">
        <f t="shared" si="205"/>
        <v>0.43555555555555553</v>
      </c>
      <c r="AX142" s="178">
        <f t="shared" si="228"/>
        <v>3.1360000000000006</v>
      </c>
      <c r="AY142" s="178">
        <f t="shared" si="229"/>
        <v>0.45155555555555565</v>
      </c>
      <c r="AZ142" s="178">
        <f t="shared" si="233"/>
        <v>6.9448818897637796</v>
      </c>
      <c r="BA142" s="470">
        <f>L*Isw_max^2/(2*Vout_ripple*Vout)*1000000000*((1+M142)/2)^2</f>
        <v>25.385458958093036</v>
      </c>
      <c r="BB142" s="470">
        <f>L*F142^2/(2*Cout*Vout*Nps^2)*1000000000*((1+M142)/(1-M142))^2+F142*RCoutEsr</f>
        <v>6.4027346116802368</v>
      </c>
      <c r="BC142" s="6">
        <f t="shared" si="206"/>
        <v>0.85842920057345007</v>
      </c>
      <c r="BD142" s="470">
        <f>((BY142/I142/Efficiency)*AU142/Cin+(BY142/I142/Efficiency)*RCinEsr)*1000</f>
        <v>59.02186577554999</v>
      </c>
      <c r="BF142" s="178">
        <f t="shared" si="234"/>
        <v>0.60965078042603549</v>
      </c>
      <c r="BG142" s="178">
        <f t="shared" si="230"/>
        <v>0.69401675718908928</v>
      </c>
      <c r="BI142" s="543">
        <f t="shared" si="207"/>
        <v>4.0884148148148156E-2</v>
      </c>
      <c r="BJ142" s="543">
        <f t="shared" si="208"/>
        <v>5.9500000000000004E-2</v>
      </c>
      <c r="BK142" s="543">
        <f t="shared" si="209"/>
        <v>1.7499999999999998E-2</v>
      </c>
      <c r="BL142" s="543">
        <f t="shared" si="210"/>
        <v>3.5560546875000001E-2</v>
      </c>
      <c r="BM142">
        <f t="shared" si="211"/>
        <v>2.6099999999999999E-3</v>
      </c>
      <c r="BN142" s="470">
        <f t="shared" si="212"/>
        <v>156.05469502314818</v>
      </c>
      <c r="BO142" s="543">
        <f t="shared" si="213"/>
        <v>0.1024</v>
      </c>
      <c r="BR142" s="470">
        <f t="shared" si="214"/>
        <v>102.4</v>
      </c>
      <c r="BS142" s="543">
        <f t="shared" si="215"/>
        <v>1.4866962962962967E-2</v>
      </c>
      <c r="BT142" s="543">
        <f t="shared" si="216"/>
        <v>1.9266370370370371E-2</v>
      </c>
      <c r="BU142" s="543">
        <f t="shared" si="217"/>
        <v>0</v>
      </c>
      <c r="BV142" s="543">
        <f t="shared" si="218"/>
        <v>3.3600000000000012E-2</v>
      </c>
      <c r="BW142" s="470">
        <f t="shared" si="219"/>
        <v>67.733333333333334</v>
      </c>
      <c r="BX142" s="178">
        <f t="shared" si="220"/>
        <v>0.32618802835648153</v>
      </c>
      <c r="BY142" s="6">
        <f t="shared" si="221"/>
        <v>3.0720000000000001</v>
      </c>
      <c r="BZ142" s="178">
        <f t="shared" si="222"/>
        <v>0.90401118901173894</v>
      </c>
      <c r="CA142" s="6">
        <f t="shared" si="223"/>
        <v>90.401118901173888</v>
      </c>
      <c r="CD142" s="577">
        <f t="shared" ref="CD142:CD173" si="262">IF(ABS(F142-Ioutmax_Vinmin)&lt;Iout/200, AN142, -50)</f>
        <v>-50</v>
      </c>
      <c r="CE142">
        <f t="shared" ref="CE142:CE173" si="263">IF(ABS(F142-Ioutmax_Vinmin)&lt;Iout/200, N142*BZ142, -50)</f>
        <v>-50</v>
      </c>
    </row>
    <row r="143" spans="5:83" x14ac:dyDescent="0.2">
      <c r="E143" s="175">
        <v>33</v>
      </c>
      <c r="F143" s="222">
        <f t="shared" ref="F143:F174" si="264">IF(PLOT_TYPE=1, E143/100*Iout_max, min_I*EXP(N143*rr/100))</f>
        <v>0.26400000000000001</v>
      </c>
      <c r="G143" s="222"/>
      <c r="H143" s="222">
        <f t="shared" si="235"/>
        <v>3.1680000000000001</v>
      </c>
      <c r="I143" s="556">
        <f t="shared" si="236"/>
        <v>9</v>
      </c>
      <c r="J143" s="452">
        <f t="shared" si="237"/>
        <v>12.25</v>
      </c>
      <c r="K143" s="452">
        <f t="shared" si="238"/>
        <v>21.25</v>
      </c>
      <c r="L143" s="452"/>
      <c r="M143" s="222">
        <f t="shared" si="239"/>
        <v>0.57647058823529407</v>
      </c>
      <c r="N143" s="177">
        <f t="shared" si="240"/>
        <v>10.104088235294114</v>
      </c>
      <c r="O143" s="177">
        <f t="shared" si="231"/>
        <v>3.1680000000000001</v>
      </c>
      <c r="P143" s="222">
        <f t="shared" si="241"/>
        <v>0.84200735294117612</v>
      </c>
      <c r="Q143" s="222">
        <f t="shared" si="242"/>
        <v>12</v>
      </c>
      <c r="R143" s="222"/>
      <c r="S143" s="177">
        <f t="shared" si="243"/>
        <v>57.431053064158561</v>
      </c>
      <c r="T143" s="177">
        <f t="shared" si="244"/>
        <v>12</v>
      </c>
      <c r="U143" s="222">
        <f t="shared" si="245"/>
        <v>1.2854994629430723</v>
      </c>
      <c r="V143" s="222">
        <f t="shared" si="246"/>
        <v>0.99983291562238941</v>
      </c>
      <c r="W143" s="222">
        <f t="shared" si="247"/>
        <v>0.73457112168175553</v>
      </c>
      <c r="X143" s="202">
        <f t="shared" si="248"/>
        <v>350</v>
      </c>
      <c r="Y143" s="452">
        <f t="shared" si="190"/>
        <v>350</v>
      </c>
      <c r="AA143" s="222">
        <f t="shared" si="249"/>
        <v>2.1176470588235294</v>
      </c>
      <c r="AB143" s="178">
        <f t="shared" si="250"/>
        <v>1.2100840336134453</v>
      </c>
      <c r="AC143" s="178">
        <f t="shared" si="251"/>
        <v>0.4484429065743944</v>
      </c>
      <c r="AD143" s="178"/>
      <c r="AE143" s="178">
        <f t="shared" si="252"/>
        <v>0.46857142857142853</v>
      </c>
      <c r="AF143" s="560">
        <f>MAX(12000,F143/(0.5*AE143/1000000*Isw_min*Nps))/1000</f>
        <v>1374.1820345032722</v>
      </c>
      <c r="AG143" s="543">
        <f t="shared" si="253"/>
        <v>6.723999999999998E-2</v>
      </c>
      <c r="AI143" s="178">
        <f t="shared" si="254"/>
        <v>1.6248076809271921</v>
      </c>
      <c r="AJ143" s="178">
        <f t="shared" si="255"/>
        <v>1.6248076809271921</v>
      </c>
      <c r="AK143" s="178">
        <f t="shared" si="256"/>
        <v>1.796153837723846</v>
      </c>
      <c r="AM143" s="560">
        <f t="shared" si="257"/>
        <v>264</v>
      </c>
      <c r="AN143" s="470">
        <f t="shared" si="258"/>
        <v>350</v>
      </c>
      <c r="AP143" s="470">
        <f t="shared" si="259"/>
        <v>264</v>
      </c>
      <c r="AQ143" s="470">
        <f t="shared" si="260"/>
        <v>350</v>
      </c>
      <c r="AS143" s="6">
        <f t="shared" si="232"/>
        <v>2.8571428571428572</v>
      </c>
      <c r="AT143" s="6">
        <f t="shared" si="261"/>
        <v>1.2637393073878163</v>
      </c>
      <c r="AU143" s="6">
        <f t="shared" si="204"/>
        <v>1.5934035497550409</v>
      </c>
      <c r="AV143" s="6"/>
      <c r="AW143" s="178">
        <f t="shared" si="205"/>
        <v>0.44230875758573568</v>
      </c>
      <c r="AX143" s="178">
        <f t="shared" si="228"/>
        <v>3.234</v>
      </c>
      <c r="AY143" s="178">
        <f t="shared" si="229"/>
        <v>0.4530705071302627</v>
      </c>
      <c r="AZ143" s="178">
        <f t="shared" si="233"/>
        <v>7.1379618604708464</v>
      </c>
      <c r="BA143" s="470">
        <f>L*Isw_max^2/(2*Vout_ripple*Vout)*1000000000*((1+M143)/2)^2</f>
        <v>25.385458958093036</v>
      </c>
      <c r="BB143" s="470">
        <f>L*F143^2/(2*Cout*Vout*Nps^2)*1000000000*((1+M143)/(1-M143))^2+F143*RCoutEsr</f>
        <v>6.7844081954294726</v>
      </c>
      <c r="BC143" s="6">
        <f t="shared" si="206"/>
        <v>0.87466362497274774</v>
      </c>
      <c r="BD143" s="470">
        <f>((BY143/I143/Efficiency)*AU143/Cin+(BY143/I143/Efficiency)*RCinEsr)*1000</f>
        <v>60.151373633028896</v>
      </c>
      <c r="BF143" s="178">
        <f t="shared" si="234"/>
        <v>0.62388436963546978</v>
      </c>
      <c r="BG143" s="178">
        <f t="shared" si="230"/>
        <v>0.70054856599992599</v>
      </c>
      <c r="BI143" s="543">
        <f t="shared" si="207"/>
        <v>4.2815487734299225E-2</v>
      </c>
      <c r="BJ143" s="543">
        <f t="shared" si="208"/>
        <v>6.042253563447994E-2</v>
      </c>
      <c r="BK143" s="543">
        <f t="shared" si="209"/>
        <v>1.7499999999999998E-2</v>
      </c>
      <c r="BL143" s="543">
        <f t="shared" si="210"/>
        <v>3.5560546875000001E-2</v>
      </c>
      <c r="BM143">
        <f t="shared" si="211"/>
        <v>2.6099999999999999E-3</v>
      </c>
      <c r="BN143" s="470">
        <f t="shared" si="212"/>
        <v>158.90857024377917</v>
      </c>
      <c r="BO143" s="543">
        <f t="shared" si="213"/>
        <v>0.10560000000000001</v>
      </c>
      <c r="BR143" s="470">
        <f t="shared" si="214"/>
        <v>105.60000000000001</v>
      </c>
      <c r="BS143" s="543">
        <f t="shared" si="215"/>
        <v>1.55692682670179E-2</v>
      </c>
      <c r="BT143" s="543">
        <f t="shared" si="216"/>
        <v>1.9630731732982108E-2</v>
      </c>
      <c r="BU143" s="543">
        <f t="shared" si="217"/>
        <v>0</v>
      </c>
      <c r="BV143" s="543">
        <f t="shared" si="218"/>
        <v>3.465E-2</v>
      </c>
      <c r="BW143" s="470">
        <f t="shared" si="219"/>
        <v>69.850000000000009</v>
      </c>
      <c r="BX143" s="178">
        <f t="shared" si="220"/>
        <v>0.33435857024377919</v>
      </c>
      <c r="BY143" s="6">
        <f t="shared" si="221"/>
        <v>3.1680000000000001</v>
      </c>
      <c r="BZ143" s="178">
        <f t="shared" si="222"/>
        <v>0.90453331275543658</v>
      </c>
      <c r="CA143" s="6">
        <f t="shared" si="223"/>
        <v>90.453331275543661</v>
      </c>
      <c r="CD143" s="577">
        <f t="shared" si="262"/>
        <v>-50</v>
      </c>
      <c r="CE143">
        <f t="shared" si="263"/>
        <v>-50</v>
      </c>
    </row>
    <row r="144" spans="5:83" x14ac:dyDescent="0.2">
      <c r="E144" s="175">
        <v>34</v>
      </c>
      <c r="F144" s="222">
        <f t="shared" si="264"/>
        <v>0.27200000000000002</v>
      </c>
      <c r="G144" s="222"/>
      <c r="H144" s="222">
        <f t="shared" si="235"/>
        <v>3.2640000000000002</v>
      </c>
      <c r="I144" s="556">
        <f t="shared" si="236"/>
        <v>9</v>
      </c>
      <c r="J144" s="452">
        <f t="shared" si="237"/>
        <v>12.25</v>
      </c>
      <c r="K144" s="452">
        <f t="shared" si="238"/>
        <v>21.25</v>
      </c>
      <c r="L144" s="452"/>
      <c r="M144" s="222">
        <f t="shared" si="239"/>
        <v>0.57647058823529407</v>
      </c>
      <c r="N144" s="177">
        <f t="shared" si="240"/>
        <v>10.104088235294114</v>
      </c>
      <c r="O144" s="177">
        <f t="shared" si="231"/>
        <v>3.2640000000000002</v>
      </c>
      <c r="P144" s="222">
        <f t="shared" si="241"/>
        <v>0.84200735294117612</v>
      </c>
      <c r="Q144" s="222">
        <f t="shared" si="242"/>
        <v>12</v>
      </c>
      <c r="R144" s="222"/>
      <c r="S144" s="177">
        <f t="shared" si="243"/>
        <v>55.479711672236199</v>
      </c>
      <c r="T144" s="177">
        <f t="shared" si="244"/>
        <v>12</v>
      </c>
      <c r="U144" s="222">
        <f t="shared" si="245"/>
        <v>1.3244539921231655</v>
      </c>
      <c r="V144" s="222">
        <f t="shared" si="246"/>
        <v>1.030130882762462</v>
      </c>
      <c r="W144" s="222">
        <f t="shared" si="247"/>
        <v>0.75683085264180883</v>
      </c>
      <c r="X144" s="202">
        <f t="shared" si="248"/>
        <v>350</v>
      </c>
      <c r="Y144" s="452">
        <f t="shared" si="190"/>
        <v>350</v>
      </c>
      <c r="AA144" s="222">
        <f t="shared" si="249"/>
        <v>2.1176470588235294</v>
      </c>
      <c r="AB144" s="178">
        <f t="shared" si="250"/>
        <v>1.2100840336134453</v>
      </c>
      <c r="AC144" s="178">
        <f t="shared" si="251"/>
        <v>0.4484429065743944</v>
      </c>
      <c r="AD144" s="178"/>
      <c r="AE144" s="178">
        <f t="shared" si="252"/>
        <v>0.46857142857142853</v>
      </c>
      <c r="AF144" s="560">
        <f>MAX(12000,F144/(0.5*AE144/1000000*Isw_min*Nps))/1000</f>
        <v>1415.8239143367045</v>
      </c>
      <c r="AG144" s="543">
        <f t="shared" si="253"/>
        <v>6.723999999999998E-2</v>
      </c>
      <c r="AI144" s="178">
        <f t="shared" si="254"/>
        <v>1.6492422502470645</v>
      </c>
      <c r="AJ144" s="178">
        <f t="shared" si="255"/>
        <v>1.6492422502470645</v>
      </c>
      <c r="AK144" s="178">
        <f t="shared" si="256"/>
        <v>1.8142535187015292</v>
      </c>
      <c r="AM144" s="560">
        <f t="shared" si="257"/>
        <v>272</v>
      </c>
      <c r="AN144" s="470">
        <f t="shared" si="258"/>
        <v>350</v>
      </c>
      <c r="AP144" s="470">
        <f t="shared" si="259"/>
        <v>272</v>
      </c>
      <c r="AQ144" s="470">
        <f t="shared" si="260"/>
        <v>350</v>
      </c>
      <c r="AS144" s="6">
        <f t="shared" si="232"/>
        <v>2.8571428571428572</v>
      </c>
      <c r="AT144" s="6">
        <f t="shared" si="261"/>
        <v>1.2827439724143834</v>
      </c>
      <c r="AU144" s="6">
        <f t="shared" si="204"/>
        <v>1.5743988847284738</v>
      </c>
      <c r="AV144" s="6"/>
      <c r="AW144" s="178">
        <f t="shared" si="205"/>
        <v>0.44896039034503421</v>
      </c>
      <c r="AX144" s="178">
        <f t="shared" si="228"/>
        <v>3.3320000000000012</v>
      </c>
      <c r="AY144" s="178">
        <f t="shared" si="229"/>
        <v>0.45439890290130991</v>
      </c>
      <c r="AZ144" s="178">
        <f t="shared" si="233"/>
        <v>7.332764183023726</v>
      </c>
      <c r="BA144" s="470">
        <f>L*Isw_max^2/(2*Vout_ripple*Vout)*1000000000*((1+M144)/2)^2</f>
        <v>25.385458958093036</v>
      </c>
      <c r="BB144" s="470">
        <f>L*F144^2/(2*Cout*Vout*Nps^2)*1000000000*((1+M144)/(1-M144))^2+F144*RCoutEsr</f>
        <v>7.177087120217144</v>
      </c>
      <c r="BC144" s="6">
        <f t="shared" si="206"/>
        <v>0.89042026593090551</v>
      </c>
      <c r="BD144" s="470">
        <f>((BY144/I144/Efficiency)*AU144/Cin+(BY144/I144/Efficiency)*RCinEsr)*1000</f>
        <v>61.248631108230867</v>
      </c>
      <c r="BF144" s="178">
        <f t="shared" si="234"/>
        <v>0.63801051760883842</v>
      </c>
      <c r="BG144" s="178">
        <f t="shared" si="230"/>
        <v>0.70683042244032568</v>
      </c>
      <c r="BI144" s="543">
        <f t="shared" si="207"/>
        <v>4.4776316263744766E-2</v>
      </c>
      <c r="BJ144" s="543">
        <f t="shared" si="208"/>
        <v>6.1331196181062704E-2</v>
      </c>
      <c r="BK144" s="543">
        <f t="shared" si="209"/>
        <v>1.7499999999999998E-2</v>
      </c>
      <c r="BL144" s="543">
        <f t="shared" si="210"/>
        <v>3.5560546875000001E-2</v>
      </c>
      <c r="BM144">
        <f t="shared" si="211"/>
        <v>2.6099999999999999E-3</v>
      </c>
      <c r="BN144" s="470">
        <f t="shared" si="212"/>
        <v>161.77805931980748</v>
      </c>
      <c r="BO144" s="543">
        <f t="shared" si="213"/>
        <v>0.10880000000000001</v>
      </c>
      <c r="BR144" s="470">
        <f t="shared" si="214"/>
        <v>108.80000000000001</v>
      </c>
      <c r="BS144" s="543">
        <f t="shared" si="215"/>
        <v>1.6282296823179915E-2</v>
      </c>
      <c r="BT144" s="543">
        <f t="shared" si="216"/>
        <v>1.9984369843486772E-2</v>
      </c>
      <c r="BU144" s="543">
        <f t="shared" si="217"/>
        <v>0</v>
      </c>
      <c r="BV144" s="543">
        <f t="shared" si="218"/>
        <v>3.5700000000000023E-2</v>
      </c>
      <c r="BW144" s="470">
        <f t="shared" si="219"/>
        <v>71.966666666666711</v>
      </c>
      <c r="BX144" s="178">
        <f t="shared" si="220"/>
        <v>0.34254472598647423</v>
      </c>
      <c r="BY144" s="6">
        <f t="shared" si="221"/>
        <v>3.2640000000000002</v>
      </c>
      <c r="BZ144" s="178">
        <f t="shared" si="222"/>
        <v>0.90502135644726267</v>
      </c>
      <c r="CA144" s="6">
        <f t="shared" si="223"/>
        <v>90.502135644726266</v>
      </c>
      <c r="CD144" s="577">
        <f t="shared" si="262"/>
        <v>-50</v>
      </c>
      <c r="CE144">
        <f t="shared" si="263"/>
        <v>-50</v>
      </c>
    </row>
    <row r="145" spans="5:83" x14ac:dyDescent="0.2">
      <c r="E145" s="175">
        <v>35</v>
      </c>
      <c r="F145" s="222">
        <f t="shared" si="264"/>
        <v>0.27999999999999997</v>
      </c>
      <c r="G145" s="222"/>
      <c r="H145" s="222">
        <f t="shared" si="235"/>
        <v>3.3599999999999994</v>
      </c>
      <c r="I145" s="556">
        <f t="shared" si="236"/>
        <v>9</v>
      </c>
      <c r="J145" s="452">
        <f t="shared" si="237"/>
        <v>12.25</v>
      </c>
      <c r="K145" s="452">
        <f t="shared" si="238"/>
        <v>21.25</v>
      </c>
      <c r="L145" s="452"/>
      <c r="M145" s="222">
        <f t="shared" si="239"/>
        <v>0.57647058823529407</v>
      </c>
      <c r="N145" s="177">
        <f t="shared" si="240"/>
        <v>10.104088235294114</v>
      </c>
      <c r="O145" s="177">
        <f t="shared" si="231"/>
        <v>3.3599999999999994</v>
      </c>
      <c r="P145" s="222">
        <f t="shared" si="241"/>
        <v>0.84200735294117612</v>
      </c>
      <c r="Q145" s="222">
        <f t="shared" si="242"/>
        <v>12</v>
      </c>
      <c r="R145" s="222"/>
      <c r="S145" s="177">
        <f t="shared" si="243"/>
        <v>53.639966028493461</v>
      </c>
      <c r="T145" s="177">
        <f t="shared" si="244"/>
        <v>12</v>
      </c>
      <c r="U145" s="222">
        <f t="shared" si="245"/>
        <v>1.3634085213032583</v>
      </c>
      <c r="V145" s="222">
        <f t="shared" si="246"/>
        <v>1.0604288499025341</v>
      </c>
      <c r="W145" s="222">
        <f t="shared" si="247"/>
        <v>0.77909058360186179</v>
      </c>
      <c r="X145" s="202">
        <f t="shared" si="248"/>
        <v>350</v>
      </c>
      <c r="Y145" s="452">
        <f t="shared" si="190"/>
        <v>350</v>
      </c>
      <c r="AA145" s="222">
        <f t="shared" si="249"/>
        <v>2.1176470588235294</v>
      </c>
      <c r="AB145" s="178">
        <f t="shared" si="250"/>
        <v>1.2100840336134453</v>
      </c>
      <c r="AC145" s="178">
        <f t="shared" si="251"/>
        <v>0.4484429065743944</v>
      </c>
      <c r="AD145" s="178"/>
      <c r="AE145" s="178">
        <f t="shared" si="252"/>
        <v>0.46857142857142853</v>
      </c>
      <c r="AF145" s="560">
        <f>MAX(12000,F145/(0.5*AE145/1000000*Isw_min*Nps))/1000</f>
        <v>1457.4657941701371</v>
      </c>
      <c r="AG145" s="543">
        <f t="shared" si="253"/>
        <v>6.723999999999998E-2</v>
      </c>
      <c r="AI145" s="178">
        <f t="shared" si="254"/>
        <v>1.6733200530681511</v>
      </c>
      <c r="AJ145" s="178">
        <f t="shared" si="255"/>
        <v>1.6733200530681511</v>
      </c>
      <c r="AK145" s="178">
        <f t="shared" si="256"/>
        <v>1.8320889281986306</v>
      </c>
      <c r="AM145" s="560">
        <f t="shared" si="257"/>
        <v>279.99999999999994</v>
      </c>
      <c r="AN145" s="470">
        <f t="shared" si="258"/>
        <v>350</v>
      </c>
      <c r="AP145" s="470">
        <f t="shared" si="259"/>
        <v>279.99999999999994</v>
      </c>
      <c r="AQ145" s="470">
        <f t="shared" si="260"/>
        <v>350</v>
      </c>
      <c r="AS145" s="6">
        <f t="shared" si="232"/>
        <v>2.8571428571428572</v>
      </c>
      <c r="AT145" s="6">
        <f t="shared" si="261"/>
        <v>1.3014711523863396</v>
      </c>
      <c r="AU145" s="6">
        <f t="shared" si="204"/>
        <v>1.5556717047565176</v>
      </c>
      <c r="AV145" s="6"/>
      <c r="AW145" s="178">
        <f t="shared" si="205"/>
        <v>0.45551490333521882</v>
      </c>
      <c r="AX145" s="178">
        <f t="shared" si="228"/>
        <v>3.43</v>
      </c>
      <c r="AY145" s="178">
        <f t="shared" si="229"/>
        <v>0.4555489154229645</v>
      </c>
      <c r="AZ145" s="178">
        <f t="shared" si="233"/>
        <v>7.5293780401503989</v>
      </c>
      <c r="BA145" s="470">
        <f>L*Isw_max^2/(2*Vout_ripple*Vout)*1000000000*((1+M145)/2)^2</f>
        <v>25.385458958093036</v>
      </c>
      <c r="BB145" s="470">
        <f>L*F145^2/(2*Cout*Vout*Nps^2)*1000000000*((1+M145)/(1-M145))^2+F145*RCoutEsr</f>
        <v>7.5807713860432511</v>
      </c>
      <c r="BC145" s="6">
        <f t="shared" si="206"/>
        <v>0.90570620367890808</v>
      </c>
      <c r="BD145" s="470">
        <f>((BY145/I145/Efficiency)*AU145/Cin+(BY145/I145/Efficiency)*RCinEsr)*1000</f>
        <v>62.314116116747357</v>
      </c>
      <c r="BF145" s="178">
        <f t="shared" si="234"/>
        <v>0.65203316105307929</v>
      </c>
      <c r="BG145" s="178">
        <f t="shared" si="230"/>
        <v>0.7128717207327433</v>
      </c>
      <c r="BI145" s="543">
        <f t="shared" si="207"/>
        <v>4.6766196742415791E-2</v>
      </c>
      <c r="BJ145" s="543">
        <f t="shared" si="208"/>
        <v>6.2226589473471879E-2</v>
      </c>
      <c r="BK145" s="543">
        <f t="shared" si="209"/>
        <v>1.7499999999999998E-2</v>
      </c>
      <c r="BL145" s="543">
        <f t="shared" si="210"/>
        <v>3.5560546875000001E-2</v>
      </c>
      <c r="BM145">
        <f t="shared" si="211"/>
        <v>2.6099999999999999E-3</v>
      </c>
      <c r="BN145" s="470">
        <f t="shared" si="212"/>
        <v>164.66333309088765</v>
      </c>
      <c r="BO145" s="543">
        <f t="shared" si="213"/>
        <v>0.11199999999999999</v>
      </c>
      <c r="BR145" s="470">
        <f t="shared" si="214"/>
        <v>111.99999999999999</v>
      </c>
      <c r="BS145" s="543">
        <f t="shared" si="215"/>
        <v>1.7005889724514833E-2</v>
      </c>
      <c r="BT145" s="543">
        <f t="shared" si="216"/>
        <v>2.0327443608818493E-2</v>
      </c>
      <c r="BU145" s="543">
        <f t="shared" si="217"/>
        <v>0</v>
      </c>
      <c r="BV145" s="543">
        <f t="shared" si="218"/>
        <v>3.6750000000000012E-2</v>
      </c>
      <c r="BW145" s="470">
        <f t="shared" si="219"/>
        <v>74.083333333333329</v>
      </c>
      <c r="BX145" s="178">
        <f t="shared" si="220"/>
        <v>0.35074666642422098</v>
      </c>
      <c r="BY145" s="6">
        <f t="shared" si="221"/>
        <v>3.3599999999999994</v>
      </c>
      <c r="BZ145" s="178">
        <f t="shared" si="222"/>
        <v>0.90547814282288086</v>
      </c>
      <c r="CA145" s="6">
        <f t="shared" si="223"/>
        <v>90.547814282288087</v>
      </c>
      <c r="CD145" s="577">
        <f t="shared" si="262"/>
        <v>-50</v>
      </c>
      <c r="CE145">
        <f t="shared" si="263"/>
        <v>-50</v>
      </c>
    </row>
    <row r="146" spans="5:83" x14ac:dyDescent="0.2">
      <c r="E146" s="175">
        <v>36</v>
      </c>
      <c r="F146" s="222">
        <f t="shared" si="264"/>
        <v>0.28799999999999998</v>
      </c>
      <c r="G146" s="222"/>
      <c r="H146" s="222">
        <f t="shared" si="235"/>
        <v>3.4559999999999995</v>
      </c>
      <c r="I146" s="556">
        <f t="shared" si="236"/>
        <v>9</v>
      </c>
      <c r="J146" s="452">
        <f t="shared" si="237"/>
        <v>12.25</v>
      </c>
      <c r="K146" s="452">
        <f t="shared" si="238"/>
        <v>21.25</v>
      </c>
      <c r="L146" s="452"/>
      <c r="M146" s="222">
        <f t="shared" si="239"/>
        <v>0.57647058823529407</v>
      </c>
      <c r="N146" s="177">
        <f t="shared" si="240"/>
        <v>10.104088235294114</v>
      </c>
      <c r="O146" s="177">
        <f t="shared" si="231"/>
        <v>3.4559999999999995</v>
      </c>
      <c r="P146" s="222">
        <f t="shared" si="241"/>
        <v>0.84200735294117612</v>
      </c>
      <c r="Q146" s="222">
        <f t="shared" si="242"/>
        <v>12</v>
      </c>
      <c r="R146" s="222"/>
      <c r="S146" s="177">
        <f t="shared" si="243"/>
        <v>51.902517691850363</v>
      </c>
      <c r="T146" s="177">
        <f t="shared" si="244"/>
        <v>12</v>
      </c>
      <c r="U146" s="222">
        <f t="shared" si="245"/>
        <v>1.4023630504833513</v>
      </c>
      <c r="V146" s="222">
        <f t="shared" si="246"/>
        <v>1.0907268170426065</v>
      </c>
      <c r="W146" s="222">
        <f t="shared" si="247"/>
        <v>0.80135031456191508</v>
      </c>
      <c r="X146" s="202">
        <f t="shared" si="248"/>
        <v>350</v>
      </c>
      <c r="Y146" s="452">
        <f t="shared" si="190"/>
        <v>350</v>
      </c>
      <c r="AA146" s="222">
        <f t="shared" si="249"/>
        <v>2.1176470588235294</v>
      </c>
      <c r="AB146" s="178">
        <f t="shared" si="250"/>
        <v>1.2100840336134453</v>
      </c>
      <c r="AC146" s="178">
        <f t="shared" si="251"/>
        <v>0.4484429065743944</v>
      </c>
      <c r="AD146" s="178"/>
      <c r="AE146" s="178">
        <f t="shared" si="252"/>
        <v>0.46857142857142853</v>
      </c>
      <c r="AF146" s="560">
        <f>MAX(12000,F146/(0.5*AE146/1000000*Isw_min*Nps))/1000</f>
        <v>1499.1076740035694</v>
      </c>
      <c r="AG146" s="543">
        <f t="shared" si="253"/>
        <v>6.723999999999998E-2</v>
      </c>
      <c r="AI146" s="178">
        <f t="shared" si="254"/>
        <v>1.697056274847714</v>
      </c>
      <c r="AJ146" s="178">
        <f t="shared" si="255"/>
        <v>1.697056274847714</v>
      </c>
      <c r="AK146" s="178">
        <f t="shared" si="256"/>
        <v>1.8496713147020105</v>
      </c>
      <c r="AM146" s="560">
        <f t="shared" si="257"/>
        <v>288</v>
      </c>
      <c r="AN146" s="470">
        <f t="shared" si="258"/>
        <v>350</v>
      </c>
      <c r="AP146" s="470">
        <f t="shared" si="259"/>
        <v>288</v>
      </c>
      <c r="AQ146" s="470">
        <f t="shared" si="260"/>
        <v>350</v>
      </c>
      <c r="AS146" s="6">
        <f t="shared" si="232"/>
        <v>2.8571428571428572</v>
      </c>
      <c r="AT146" s="6">
        <f t="shared" si="261"/>
        <v>1.3199326582148889</v>
      </c>
      <c r="AU146" s="6">
        <f t="shared" si="204"/>
        <v>1.5372101989279683</v>
      </c>
      <c r="AV146" s="6"/>
      <c r="AW146" s="178">
        <f t="shared" si="205"/>
        <v>0.46197643037521113</v>
      </c>
      <c r="AX146" s="178">
        <f t="shared" si="228"/>
        <v>3.528</v>
      </c>
      <c r="AY146" s="178">
        <f t="shared" si="229"/>
        <v>0.45652813742385689</v>
      </c>
      <c r="AZ146" s="178">
        <f t="shared" si="233"/>
        <v>7.7278916912069322</v>
      </c>
      <c r="BA146" s="470">
        <f>L*Isw_max^2/(2*Vout_ripple*Vout)*1000000000*((1+M146)/2)^2</f>
        <v>25.385458958093036</v>
      </c>
      <c r="BB146" s="470">
        <f>L*F146^2/(2*Cout*Vout*Nps^2)*1000000000*((1+M146)/(1-M146))^2+F146*RCoutEsr</f>
        <v>7.9954609929078</v>
      </c>
      <c r="BC146" s="6">
        <f t="shared" si="206"/>
        <v>0.92052821269136786</v>
      </c>
      <c r="BD146" s="470">
        <f>((BY146/I146/Efficiency)*AU146/Cin+(BY146/I146/Efficiency)*RCinEsr)*1000</f>
        <v>63.348285935614712</v>
      </c>
      <c r="BF146" s="178">
        <f t="shared" si="234"/>
        <v>0.66595598440152382</v>
      </c>
      <c r="BG146" s="178">
        <f t="shared" si="230"/>
        <v>0.71868117189738401</v>
      </c>
      <c r="BI146" s="543">
        <f t="shared" si="207"/>
        <v>4.8784711047622289E-2</v>
      </c>
      <c r="BJ146" s="543">
        <f t="shared" si="208"/>
        <v>6.3109280220899372E-2</v>
      </c>
      <c r="BK146" s="543">
        <f t="shared" si="209"/>
        <v>1.7499999999999998E-2</v>
      </c>
      <c r="BL146" s="543">
        <f t="shared" si="210"/>
        <v>3.5560546875000001E-2</v>
      </c>
      <c r="BM146">
        <f t="shared" si="211"/>
        <v>2.6099999999999999E-3</v>
      </c>
      <c r="BN146" s="470">
        <f t="shared" si="212"/>
        <v>167.56453814352167</v>
      </c>
      <c r="BO146" s="543">
        <f t="shared" si="213"/>
        <v>0.1152</v>
      </c>
      <c r="BR146" s="470">
        <f t="shared" si="214"/>
        <v>115.2</v>
      </c>
      <c r="BS146" s="543">
        <f t="shared" si="215"/>
        <v>1.7739894926408106E-2</v>
      </c>
      <c r="BT146" s="543">
        <f t="shared" si="216"/>
        <v>2.0660105073591888E-2</v>
      </c>
      <c r="BU146" s="543">
        <f t="shared" si="217"/>
        <v>0</v>
      </c>
      <c r="BV146" s="543">
        <f t="shared" si="218"/>
        <v>3.7800000000000007E-2</v>
      </c>
      <c r="BW146" s="470">
        <f t="shared" si="219"/>
        <v>76.199999999999989</v>
      </c>
      <c r="BX146" s="178">
        <f t="shared" si="220"/>
        <v>0.35896453814352164</v>
      </c>
      <c r="BY146" s="6">
        <f t="shared" si="221"/>
        <v>3.4559999999999995</v>
      </c>
      <c r="BZ146" s="178">
        <f t="shared" si="222"/>
        <v>0.90590619269079631</v>
      </c>
      <c r="CA146" s="6">
        <f t="shared" si="223"/>
        <v>90.590619269079625</v>
      </c>
      <c r="CD146" s="577">
        <f t="shared" si="262"/>
        <v>-50</v>
      </c>
      <c r="CE146">
        <f t="shared" si="263"/>
        <v>-50</v>
      </c>
    </row>
    <row r="147" spans="5:83" x14ac:dyDescent="0.2">
      <c r="E147" s="175">
        <v>37</v>
      </c>
      <c r="F147" s="222">
        <f t="shared" si="264"/>
        <v>0.29599999999999999</v>
      </c>
      <c r="G147" s="222"/>
      <c r="H147" s="222">
        <f t="shared" si="235"/>
        <v>3.5519999999999996</v>
      </c>
      <c r="I147" s="556">
        <f t="shared" si="236"/>
        <v>9</v>
      </c>
      <c r="J147" s="452">
        <f t="shared" si="237"/>
        <v>12.25</v>
      </c>
      <c r="K147" s="452">
        <f t="shared" si="238"/>
        <v>21.25</v>
      </c>
      <c r="L147" s="452"/>
      <c r="M147" s="222">
        <f t="shared" si="239"/>
        <v>0.57647058823529407</v>
      </c>
      <c r="N147" s="177">
        <f t="shared" si="240"/>
        <v>10.104088235294114</v>
      </c>
      <c r="O147" s="177">
        <f t="shared" si="231"/>
        <v>3.5519999999999996</v>
      </c>
      <c r="P147" s="222">
        <f t="shared" si="241"/>
        <v>0.84200735294117612</v>
      </c>
      <c r="Q147" s="222">
        <f t="shared" si="242"/>
        <v>12</v>
      </c>
      <c r="R147" s="222"/>
      <c r="S147" s="177">
        <f t="shared" si="243"/>
        <v>50.259073478684847</v>
      </c>
      <c r="T147" s="177">
        <f t="shared" si="244"/>
        <v>12</v>
      </c>
      <c r="U147" s="222">
        <f t="shared" si="245"/>
        <v>1.4413175796634445</v>
      </c>
      <c r="V147" s="222">
        <f t="shared" si="246"/>
        <v>1.121024784182679</v>
      </c>
      <c r="W147" s="222">
        <f t="shared" si="247"/>
        <v>0.82361004552196837</v>
      </c>
      <c r="X147" s="202">
        <f t="shared" si="248"/>
        <v>350</v>
      </c>
      <c r="Y147" s="452">
        <f t="shared" si="190"/>
        <v>350</v>
      </c>
      <c r="AA147" s="222">
        <f t="shared" si="249"/>
        <v>2.1176470588235294</v>
      </c>
      <c r="AB147" s="178">
        <f t="shared" si="250"/>
        <v>1.2100840336134453</v>
      </c>
      <c r="AC147" s="178">
        <f t="shared" si="251"/>
        <v>0.4484429065743944</v>
      </c>
      <c r="AD147" s="178"/>
      <c r="AE147" s="178">
        <f t="shared" si="252"/>
        <v>0.46857142857142853</v>
      </c>
      <c r="AF147" s="560">
        <f>MAX(12000,F147/(0.5*AE147/1000000*Isw_min*Nps))/1000</f>
        <v>1540.7495538370019</v>
      </c>
      <c r="AG147" s="543">
        <f t="shared" si="253"/>
        <v>6.723999999999998E-2</v>
      </c>
      <c r="AI147" s="178">
        <f t="shared" si="254"/>
        <v>1.7204650534085253</v>
      </c>
      <c r="AJ147" s="178">
        <f t="shared" si="255"/>
        <v>1.7204650534085253</v>
      </c>
      <c r="AK147" s="178">
        <f t="shared" si="256"/>
        <v>1.8670111506729816</v>
      </c>
      <c r="AM147" s="560">
        <f t="shared" si="257"/>
        <v>296</v>
      </c>
      <c r="AN147" s="470">
        <f t="shared" si="258"/>
        <v>350</v>
      </c>
      <c r="AP147" s="470">
        <f t="shared" si="259"/>
        <v>296</v>
      </c>
      <c r="AQ147" s="470">
        <f t="shared" si="260"/>
        <v>350</v>
      </c>
      <c r="AS147" s="6">
        <f t="shared" si="232"/>
        <v>2.8571428571428572</v>
      </c>
      <c r="AT147" s="6">
        <f t="shared" si="261"/>
        <v>1.3381394859844087</v>
      </c>
      <c r="AU147" s="6">
        <f t="shared" si="204"/>
        <v>1.5190033711584485</v>
      </c>
      <c r="AV147" s="6"/>
      <c r="AW147" s="178">
        <f t="shared" si="205"/>
        <v>0.46834882009454304</v>
      </c>
      <c r="AX147" s="178">
        <f t="shared" si="228"/>
        <v>3.6259999999999999</v>
      </c>
      <c r="AY147" s="178">
        <f t="shared" si="229"/>
        <v>0.45734363781537374</v>
      </c>
      <c r="AZ147" s="178">
        <f t="shared" si="233"/>
        <v>7.9283927886710632</v>
      </c>
      <c r="BA147" s="470">
        <f>L*Isw_max^2/(2*Vout_ripple*Vout)*1000000000*((1+M147)/2)^2</f>
        <v>25.385458958093036</v>
      </c>
      <c r="BB147" s="470">
        <f>L*F147^2/(2*Cout*Vout*Nps^2)*1000000000*((1+M147)/(1-M147))^2+F147*RCoutEsr</f>
        <v>8.4211559408107846</v>
      </c>
      <c r="BC147" s="6">
        <f t="shared" si="206"/>
        <v>0.9348927830807553</v>
      </c>
      <c r="BD147" s="470">
        <f>((BY147/I147/Efficiency)*AU147/Cin+(BY147/I147/Efficiency)*RCinEsr)*1000</f>
        <v>64.35157864742466</v>
      </c>
      <c r="BF147" s="178">
        <f t="shared" si="234"/>
        <v>0.67978244252109743</v>
      </c>
      <c r="BG147" s="178">
        <f t="shared" si="230"/>
        <v>0.72426686898319292</v>
      </c>
      <c r="BI147" s="543">
        <f t="shared" si="207"/>
        <v>5.0831458607594401E-2</v>
      </c>
      <c r="BJ147" s="543">
        <f t="shared" si="208"/>
        <v>6.3979794173629534E-2</v>
      </c>
      <c r="BK147" s="543">
        <f t="shared" si="209"/>
        <v>1.7499999999999998E-2</v>
      </c>
      <c r="BL147" s="543">
        <f t="shared" si="210"/>
        <v>3.5560546875000001E-2</v>
      </c>
      <c r="BM147">
        <f t="shared" si="211"/>
        <v>2.6099999999999999E-3</v>
      </c>
      <c r="BN147" s="470">
        <f t="shared" si="212"/>
        <v>170.48179965622396</v>
      </c>
      <c r="BO147" s="543">
        <f t="shared" si="213"/>
        <v>0.11840000000000001</v>
      </c>
      <c r="BR147" s="470">
        <f t="shared" si="214"/>
        <v>118.4</v>
      </c>
      <c r="BS147" s="543">
        <f t="shared" si="215"/>
        <v>1.8484166766397966E-2</v>
      </c>
      <c r="BT147" s="543">
        <f t="shared" si="216"/>
        <v>2.0982499900268705E-2</v>
      </c>
      <c r="BU147" s="543">
        <f t="shared" si="217"/>
        <v>0</v>
      </c>
      <c r="BV147" s="543">
        <f t="shared" si="218"/>
        <v>3.8850000000000003E-2</v>
      </c>
      <c r="BW147" s="470">
        <f t="shared" si="219"/>
        <v>78.316666666666677</v>
      </c>
      <c r="BX147" s="178">
        <f t="shared" si="220"/>
        <v>0.3671984663228906</v>
      </c>
      <c r="BY147" s="6">
        <f t="shared" si="221"/>
        <v>3.5519999999999996</v>
      </c>
      <c r="BZ147" s="178">
        <f t="shared" si="222"/>
        <v>0.90630776433544402</v>
      </c>
      <c r="CA147" s="6">
        <f t="shared" si="223"/>
        <v>90.630776433544398</v>
      </c>
      <c r="CD147" s="577">
        <f t="shared" si="262"/>
        <v>-50</v>
      </c>
      <c r="CE147">
        <f t="shared" si="263"/>
        <v>-50</v>
      </c>
    </row>
    <row r="148" spans="5:83" x14ac:dyDescent="0.2">
      <c r="E148" s="175">
        <v>38</v>
      </c>
      <c r="F148" s="222">
        <f t="shared" si="264"/>
        <v>0.30400000000000005</v>
      </c>
      <c r="G148" s="222"/>
      <c r="H148" s="222">
        <f t="shared" si="235"/>
        <v>3.6480000000000006</v>
      </c>
      <c r="I148" s="556">
        <f t="shared" si="236"/>
        <v>9</v>
      </c>
      <c r="J148" s="452">
        <f t="shared" si="237"/>
        <v>12.25</v>
      </c>
      <c r="K148" s="452">
        <f t="shared" si="238"/>
        <v>21.25</v>
      </c>
      <c r="L148" s="452"/>
      <c r="M148" s="222">
        <f t="shared" si="239"/>
        <v>0.57647058823529407</v>
      </c>
      <c r="N148" s="177">
        <f t="shared" si="240"/>
        <v>10.104088235294114</v>
      </c>
      <c r="O148" s="177">
        <f t="shared" si="231"/>
        <v>3.6480000000000006</v>
      </c>
      <c r="P148" s="222">
        <f t="shared" si="241"/>
        <v>0.84200735294117612</v>
      </c>
      <c r="Q148" s="222">
        <f t="shared" si="242"/>
        <v>12</v>
      </c>
      <c r="R148" s="222"/>
      <c r="S148" s="177">
        <f t="shared" si="243"/>
        <v>48.702213192535339</v>
      </c>
      <c r="T148" s="177">
        <f t="shared" si="244"/>
        <v>12</v>
      </c>
      <c r="U148" s="222">
        <f t="shared" si="245"/>
        <v>1.480272108843538</v>
      </c>
      <c r="V148" s="222">
        <f t="shared" si="246"/>
        <v>1.151322751322752</v>
      </c>
      <c r="W148" s="222">
        <f t="shared" si="247"/>
        <v>0.84586977648202177</v>
      </c>
      <c r="X148" s="202">
        <f t="shared" si="248"/>
        <v>350</v>
      </c>
      <c r="Y148" s="452">
        <f t="shared" si="190"/>
        <v>350</v>
      </c>
      <c r="AA148" s="222">
        <f t="shared" si="249"/>
        <v>2.1176470588235294</v>
      </c>
      <c r="AB148" s="178">
        <f t="shared" si="250"/>
        <v>1.2100840336134453</v>
      </c>
      <c r="AC148" s="178">
        <f t="shared" si="251"/>
        <v>0.4484429065743944</v>
      </c>
      <c r="AD148" s="178"/>
      <c r="AE148" s="178">
        <f t="shared" si="252"/>
        <v>0.46857142857142853</v>
      </c>
      <c r="AF148" s="560">
        <f>MAX(12000,F148/(0.5*AE148/1000000*Isw_min*Nps))/1000</f>
        <v>1582.3914336704349</v>
      </c>
      <c r="AG148" s="543">
        <f t="shared" si="253"/>
        <v>6.723999999999998E-2</v>
      </c>
      <c r="AI148" s="178">
        <f t="shared" si="254"/>
        <v>1.7435595774162698</v>
      </c>
      <c r="AJ148" s="178">
        <f t="shared" si="255"/>
        <v>1.7435595774162698</v>
      </c>
      <c r="AK148" s="178">
        <f t="shared" si="256"/>
        <v>1.8841182054935333</v>
      </c>
      <c r="AM148" s="560">
        <f t="shared" si="257"/>
        <v>304.00000000000006</v>
      </c>
      <c r="AN148" s="470">
        <f t="shared" si="258"/>
        <v>350</v>
      </c>
      <c r="AP148" s="470">
        <f t="shared" si="259"/>
        <v>304.00000000000006</v>
      </c>
      <c r="AQ148" s="470">
        <f t="shared" si="260"/>
        <v>350</v>
      </c>
      <c r="AS148" s="6">
        <f t="shared" si="232"/>
        <v>2.8571428571428572</v>
      </c>
      <c r="AT148" s="6">
        <f t="shared" si="261"/>
        <v>1.3561018935459874</v>
      </c>
      <c r="AU148" s="6">
        <f t="shared" si="204"/>
        <v>1.5010409635968698</v>
      </c>
      <c r="AV148" s="6"/>
      <c r="AW148" s="178">
        <f t="shared" si="205"/>
        <v>0.47463566274109559</v>
      </c>
      <c r="AX148" s="178">
        <f t="shared" si="228"/>
        <v>3.7240000000000015</v>
      </c>
      <c r="AY148" s="178">
        <f t="shared" si="229"/>
        <v>0.45800201093035703</v>
      </c>
      <c r="AZ148" s="178">
        <f t="shared" si="233"/>
        <v>8.1309686663499523</v>
      </c>
      <c r="BA148" s="470">
        <f>L*Isw_max^2/(2*Vout_ripple*Vout)*1000000000*((1+M148)/2)^2</f>
        <v>25.385458958093036</v>
      </c>
      <c r="BB148" s="470">
        <f>L*F148^2/(2*Cout*Vout*Nps^2)*1000000000*((1+M148)/(1-M148))^2+F148*RCoutEsr</f>
        <v>8.8578562297522119</v>
      </c>
      <c r="BC148" s="6">
        <f t="shared" si="206"/>
        <v>0.94880613995258944</v>
      </c>
      <c r="BD148" s="470">
        <f>((BY148/I148/Efficiency)*AU148/Cin+(BY148/I148/Efficiency)*RCinEsr)*1000</f>
        <v>65.324414446799793</v>
      </c>
      <c r="BF148" s="178">
        <f t="shared" si="234"/>
        <v>0.69351578081851195</v>
      </c>
      <c r="BG148" s="178">
        <f t="shared" si="230"/>
        <v>0.7296363444134506</v>
      </c>
      <c r="BI148" s="543">
        <f t="shared" si="207"/>
        <v>5.2906055206874136E-2</v>
      </c>
      <c r="BJ148" s="543">
        <f t="shared" si="208"/>
        <v>6.4838621785167527E-2</v>
      </c>
      <c r="BK148" s="543">
        <f t="shared" si="209"/>
        <v>1.7499999999999998E-2</v>
      </c>
      <c r="BL148" s="543">
        <f t="shared" si="210"/>
        <v>3.5560546875000001E-2</v>
      </c>
      <c r="BM148">
        <f t="shared" si="211"/>
        <v>2.6099999999999999E-3</v>
      </c>
      <c r="BN148" s="470">
        <f t="shared" si="212"/>
        <v>173.41522386704168</v>
      </c>
      <c r="BO148" s="543">
        <f t="shared" si="213"/>
        <v>0.12160000000000003</v>
      </c>
      <c r="BR148" s="470">
        <f t="shared" si="214"/>
        <v>121.60000000000002</v>
      </c>
      <c r="BS148" s="543">
        <f t="shared" si="215"/>
        <v>1.9238565529772413E-2</v>
      </c>
      <c r="BT148" s="543">
        <f t="shared" si="216"/>
        <v>2.1294767803560939E-2</v>
      </c>
      <c r="BU148" s="543">
        <f t="shared" si="217"/>
        <v>0</v>
      </c>
      <c r="BV148" s="543">
        <f t="shared" si="218"/>
        <v>3.9900000000000019E-2</v>
      </c>
      <c r="BW148" s="470">
        <f t="shared" si="219"/>
        <v>80.433333333333366</v>
      </c>
      <c r="BX148" s="178">
        <f t="shared" si="220"/>
        <v>0.37544855720037507</v>
      </c>
      <c r="BY148" s="6">
        <f t="shared" si="221"/>
        <v>3.6480000000000006</v>
      </c>
      <c r="BZ148" s="178">
        <f t="shared" si="222"/>
        <v>0.90668488689175075</v>
      </c>
      <c r="CA148" s="6">
        <f t="shared" si="223"/>
        <v>90.668488689175078</v>
      </c>
      <c r="CD148" s="577">
        <f t="shared" si="262"/>
        <v>-50</v>
      </c>
      <c r="CE148">
        <f t="shared" si="263"/>
        <v>-50</v>
      </c>
    </row>
    <row r="149" spans="5:83" x14ac:dyDescent="0.2">
      <c r="E149" s="175">
        <v>39</v>
      </c>
      <c r="F149" s="222">
        <f t="shared" si="264"/>
        <v>0.31200000000000006</v>
      </c>
      <c r="G149" s="222"/>
      <c r="H149" s="222">
        <f t="shared" si="235"/>
        <v>3.7440000000000007</v>
      </c>
      <c r="I149" s="556">
        <f t="shared" si="236"/>
        <v>9</v>
      </c>
      <c r="J149" s="452">
        <f t="shared" si="237"/>
        <v>12.25</v>
      </c>
      <c r="K149" s="452">
        <f t="shared" si="238"/>
        <v>21.25</v>
      </c>
      <c r="L149" s="452"/>
      <c r="M149" s="222">
        <f t="shared" si="239"/>
        <v>0.57647058823529407</v>
      </c>
      <c r="N149" s="177">
        <f t="shared" si="240"/>
        <v>10.104088235294114</v>
      </c>
      <c r="O149" s="177">
        <f t="shared" si="231"/>
        <v>3.7440000000000007</v>
      </c>
      <c r="P149" s="222">
        <f t="shared" si="241"/>
        <v>0.84200735294117612</v>
      </c>
      <c r="Q149" s="222">
        <f t="shared" si="242"/>
        <v>12</v>
      </c>
      <c r="R149" s="222"/>
      <c r="S149" s="177">
        <f t="shared" si="243"/>
        <v>47.225277703089567</v>
      </c>
      <c r="T149" s="177">
        <f t="shared" si="244"/>
        <v>12</v>
      </c>
      <c r="U149" s="222">
        <f t="shared" si="245"/>
        <v>1.519226638023631</v>
      </c>
      <c r="V149" s="222">
        <f t="shared" si="246"/>
        <v>1.181620718462824</v>
      </c>
      <c r="W149" s="222">
        <f t="shared" si="247"/>
        <v>0.86812950744207484</v>
      </c>
      <c r="X149" s="202">
        <f t="shared" si="248"/>
        <v>350</v>
      </c>
      <c r="Y149" s="452">
        <f t="shared" si="190"/>
        <v>350</v>
      </c>
      <c r="AA149" s="222">
        <f t="shared" si="249"/>
        <v>2.1176470588235294</v>
      </c>
      <c r="AB149" s="178">
        <f t="shared" si="250"/>
        <v>1.2100840336134453</v>
      </c>
      <c r="AC149" s="178">
        <f t="shared" si="251"/>
        <v>0.4484429065743944</v>
      </c>
      <c r="AD149" s="178"/>
      <c r="AE149" s="178">
        <f t="shared" si="252"/>
        <v>0.46857142857142853</v>
      </c>
      <c r="AF149" s="560">
        <f>MAX(12000,F149/(0.5*AE149/1000000*Isw_min*Nps))/1000</f>
        <v>1624.0333135038672</v>
      </c>
      <c r="AG149" s="543">
        <f t="shared" si="253"/>
        <v>6.723999999999998E-2</v>
      </c>
      <c r="AI149" s="178">
        <f t="shared" si="254"/>
        <v>1.7663521732655696</v>
      </c>
      <c r="AJ149" s="178">
        <f t="shared" si="255"/>
        <v>1.7663521732655696</v>
      </c>
      <c r="AK149" s="178">
        <f t="shared" si="256"/>
        <v>1.9010016098263478</v>
      </c>
      <c r="AM149" s="560">
        <f t="shared" si="257"/>
        <v>312.00000000000006</v>
      </c>
      <c r="AN149" s="470">
        <f t="shared" si="258"/>
        <v>350</v>
      </c>
      <c r="AP149" s="470">
        <f t="shared" si="259"/>
        <v>312.00000000000006</v>
      </c>
      <c r="AQ149" s="470">
        <f t="shared" si="260"/>
        <v>350</v>
      </c>
      <c r="AS149" s="6">
        <f t="shared" si="232"/>
        <v>2.8571428571428572</v>
      </c>
      <c r="AT149" s="6">
        <f t="shared" si="261"/>
        <v>1.373829468095443</v>
      </c>
      <c r="AU149" s="6">
        <f t="shared" si="204"/>
        <v>1.4833133890474142</v>
      </c>
      <c r="AV149" s="6"/>
      <c r="AW149" s="178">
        <f t="shared" si="205"/>
        <v>0.48084031383340503</v>
      </c>
      <c r="AX149" s="178">
        <f t="shared" si="228"/>
        <v>3.8220000000000014</v>
      </c>
      <c r="AY149" s="178">
        <f t="shared" si="229"/>
        <v>0.4585094199661181</v>
      </c>
      <c r="AZ149" s="178">
        <f t="shared" si="233"/>
        <v>8.3357066039830343</v>
      </c>
      <c r="BA149" s="470">
        <f>L*Isw_max^2/(2*Vout_ripple*Vout)*1000000000*((1+M149)/2)^2</f>
        <v>25.385458958093036</v>
      </c>
      <c r="BB149" s="470">
        <f>L*F149^2/(2*Cout*Vout*Nps^2)*1000000000*((1+M149)/(1-M149))^2+F149*RCoutEsr</f>
        <v>9.3055618597320748</v>
      </c>
      <c r="BC149" s="6">
        <f t="shared" si="206"/>
        <v>0.96227426096487223</v>
      </c>
      <c r="BD149" s="470">
        <f>((BY149/I149/Efficiency)*AU149/Cin+(BY149/I149/Efficiency)*RCinEsr)*1000</f>
        <v>66.267196825655205</v>
      </c>
      <c r="BF149" s="178">
        <f t="shared" si="234"/>
        <v>0.70715905310385541</v>
      </c>
      <c r="BG149" s="178">
        <f t="shared" si="230"/>
        <v>0.73479662057827877</v>
      </c>
      <c r="BI149" s="543">
        <f t="shared" si="207"/>
        <v>5.5008131902541557E-2</v>
      </c>
      <c r="BJ149" s="543">
        <f t="shared" si="208"/>
        <v>6.5686221443313361E-2</v>
      </c>
      <c r="BK149" s="543">
        <f t="shared" si="209"/>
        <v>1.7499999999999998E-2</v>
      </c>
      <c r="BL149" s="543">
        <f t="shared" si="210"/>
        <v>3.5560546875000001E-2</v>
      </c>
      <c r="BM149">
        <f t="shared" si="211"/>
        <v>2.6099999999999999E-3</v>
      </c>
      <c r="BN149" s="470">
        <f t="shared" si="212"/>
        <v>176.36490022085493</v>
      </c>
      <c r="BO149" s="543">
        <f t="shared" si="213"/>
        <v>0.12480000000000002</v>
      </c>
      <c r="BR149" s="470">
        <f t="shared" si="214"/>
        <v>124.80000000000003</v>
      </c>
      <c r="BS149" s="543">
        <f t="shared" si="215"/>
        <v>2.0002957055469658E-2</v>
      </c>
      <c r="BT149" s="543">
        <f t="shared" si="216"/>
        <v>2.1597042944530357E-2</v>
      </c>
      <c r="BU149" s="543">
        <f t="shared" si="217"/>
        <v>0</v>
      </c>
      <c r="BV149" s="543">
        <f t="shared" si="218"/>
        <v>4.0950000000000021E-2</v>
      </c>
      <c r="BW149" s="470">
        <f t="shared" si="219"/>
        <v>82.55000000000004</v>
      </c>
      <c r="BX149" s="178">
        <f t="shared" si="220"/>
        <v>0.38371490022085503</v>
      </c>
      <c r="BY149" s="6">
        <f t="shared" si="221"/>
        <v>3.7440000000000007</v>
      </c>
      <c r="BZ149" s="178">
        <f t="shared" si="222"/>
        <v>0.90703938874258883</v>
      </c>
      <c r="CA149" s="6">
        <f t="shared" si="223"/>
        <v>90.703938874258881</v>
      </c>
      <c r="CD149" s="577">
        <f t="shared" si="262"/>
        <v>-50</v>
      </c>
      <c r="CE149">
        <f t="shared" si="263"/>
        <v>-50</v>
      </c>
    </row>
    <row r="150" spans="5:83" x14ac:dyDescent="0.2">
      <c r="E150" s="175">
        <v>40</v>
      </c>
      <c r="F150" s="222">
        <f t="shared" si="264"/>
        <v>0.32000000000000006</v>
      </c>
      <c r="G150" s="222"/>
      <c r="H150" s="222">
        <f t="shared" si="235"/>
        <v>3.8400000000000007</v>
      </c>
      <c r="I150" s="556">
        <f t="shared" si="236"/>
        <v>9</v>
      </c>
      <c r="J150" s="452">
        <f t="shared" si="237"/>
        <v>12.25</v>
      </c>
      <c r="K150" s="452">
        <f t="shared" si="238"/>
        <v>21.25</v>
      </c>
      <c r="L150" s="452"/>
      <c r="M150" s="222">
        <f t="shared" si="239"/>
        <v>0.57647058823529407</v>
      </c>
      <c r="N150" s="177">
        <f t="shared" si="240"/>
        <v>10.104088235294114</v>
      </c>
      <c r="O150" s="177">
        <f t="shared" si="231"/>
        <v>3.8400000000000007</v>
      </c>
      <c r="P150" s="222">
        <f t="shared" si="241"/>
        <v>0.84200735294117612</v>
      </c>
      <c r="Q150" s="222">
        <f t="shared" si="242"/>
        <v>12</v>
      </c>
      <c r="R150" s="222"/>
      <c r="S150" s="177">
        <f t="shared" si="243"/>
        <v>45.822273813334895</v>
      </c>
      <c r="T150" s="177">
        <f t="shared" si="244"/>
        <v>12</v>
      </c>
      <c r="U150" s="222">
        <f t="shared" si="245"/>
        <v>1.5581811672037242</v>
      </c>
      <c r="V150" s="222">
        <f t="shared" si="246"/>
        <v>1.2119186856028965</v>
      </c>
      <c r="W150" s="222">
        <f t="shared" si="247"/>
        <v>0.89038923840212802</v>
      </c>
      <c r="X150" s="202">
        <f t="shared" si="248"/>
        <v>350</v>
      </c>
      <c r="Y150" s="452">
        <f t="shared" si="190"/>
        <v>350</v>
      </c>
      <c r="AA150" s="222">
        <f t="shared" si="249"/>
        <v>2.1176470588235294</v>
      </c>
      <c r="AB150" s="178">
        <f t="shared" si="250"/>
        <v>1.2100840336134453</v>
      </c>
      <c r="AC150" s="178">
        <f t="shared" si="251"/>
        <v>0.4484429065743944</v>
      </c>
      <c r="AD150" s="178"/>
      <c r="AE150" s="178">
        <f t="shared" si="252"/>
        <v>0.46857142857142853</v>
      </c>
      <c r="AF150" s="560">
        <f>MAX(12000,F150/(0.5*AE150/1000000*Isw_min*Nps))/1000</f>
        <v>1665.6751933372998</v>
      </c>
      <c r="AG150" s="543">
        <f t="shared" si="253"/>
        <v>6.723999999999998E-2</v>
      </c>
      <c r="AI150" s="178">
        <f t="shared" si="254"/>
        <v>1.7888543819998322</v>
      </c>
      <c r="AJ150" s="178">
        <f t="shared" si="255"/>
        <v>1.7888543819998322</v>
      </c>
      <c r="AK150" s="178">
        <f t="shared" si="256"/>
        <v>1.9176699125924683</v>
      </c>
      <c r="AM150" s="560">
        <f t="shared" si="257"/>
        <v>320.00000000000006</v>
      </c>
      <c r="AN150" s="470">
        <f t="shared" si="258"/>
        <v>350</v>
      </c>
      <c r="AP150" s="470">
        <f t="shared" si="259"/>
        <v>320.00000000000006</v>
      </c>
      <c r="AQ150" s="470">
        <f t="shared" si="260"/>
        <v>350</v>
      </c>
      <c r="AS150" s="6">
        <f t="shared" si="232"/>
        <v>2.8571428571428572</v>
      </c>
      <c r="AT150" s="6">
        <f t="shared" si="261"/>
        <v>1.3913311859998696</v>
      </c>
      <c r="AU150" s="6">
        <f t="shared" si="204"/>
        <v>1.4658116711429876</v>
      </c>
      <c r="AV150" s="6"/>
      <c r="AW150" s="178">
        <f t="shared" si="205"/>
        <v>0.48696591509995435</v>
      </c>
      <c r="AX150" s="178">
        <f t="shared" si="228"/>
        <v>3.9200000000000017</v>
      </c>
      <c r="AY150" s="178">
        <f t="shared" si="229"/>
        <v>0.45887163544436027</v>
      </c>
      <c r="AZ150" s="178">
        <f t="shared" si="233"/>
        <v>8.5426940721754736</v>
      </c>
      <c r="BA150" s="470">
        <f>L*Isw_max^2/(2*Vout_ripple*Vout)*1000000000*((1+M150)/2)^2</f>
        <v>25.385458958093036</v>
      </c>
      <c r="BB150" s="470">
        <f>L*F150^2/(2*Cout*Vout*Nps^2)*1000000000*((1+M150)/(1-M150))^2+F150*RCoutEsr</f>
        <v>9.7642728307503752</v>
      </c>
      <c r="BC150" s="6">
        <f t="shared" si="206"/>
        <v>0.97530289230046763</v>
      </c>
      <c r="BD150" s="470">
        <f>((BY150/I150/Efficiency)*AU150/Cin+(BY150/I150/Efficiency)*RCinEsr)*1000</f>
        <v>67.180313651334217</v>
      </c>
      <c r="BF150" s="178">
        <f t="shared" si="234"/>
        <v>0.720715137512701</v>
      </c>
      <c r="BG150" s="178">
        <f t="shared" si="230"/>
        <v>0.73975425461886712</v>
      </c>
      <c r="BI150" s="543">
        <f t="shared" si="207"/>
        <v>5.7137334038394667E-2</v>
      </c>
      <c r="BJ150" s="543">
        <f t="shared" si="208"/>
        <v>6.6523022330618756E-2</v>
      </c>
      <c r="BK150" s="543">
        <f t="shared" si="209"/>
        <v>1.7499999999999998E-2</v>
      </c>
      <c r="BL150" s="543">
        <f t="shared" si="210"/>
        <v>3.5560546875000001E-2</v>
      </c>
      <c r="BM150">
        <f t="shared" si="211"/>
        <v>2.6099999999999999E-3</v>
      </c>
      <c r="BN150" s="470">
        <f t="shared" si="212"/>
        <v>179.3309032440134</v>
      </c>
      <c r="BO150" s="543">
        <f t="shared" si="213"/>
        <v>0.12800000000000003</v>
      </c>
      <c r="BR150" s="470">
        <f t="shared" si="214"/>
        <v>128.00000000000003</v>
      </c>
      <c r="BS150" s="543">
        <f t="shared" si="215"/>
        <v>2.077721237759806E-2</v>
      </c>
      <c r="BT150" s="543">
        <f t="shared" si="216"/>
        <v>2.1889454289068629E-2</v>
      </c>
      <c r="BU150" s="543">
        <f t="shared" si="217"/>
        <v>0</v>
      </c>
      <c r="BV150" s="543">
        <f t="shared" si="218"/>
        <v>4.2000000000000023E-2</v>
      </c>
      <c r="BW150" s="470">
        <f t="shared" si="219"/>
        <v>84.666666666666714</v>
      </c>
      <c r="BX150" s="178">
        <f t="shared" si="220"/>
        <v>0.39199756991068019</v>
      </c>
      <c r="BY150" s="6">
        <f t="shared" si="221"/>
        <v>3.8400000000000007</v>
      </c>
      <c r="BZ150" s="178">
        <f t="shared" si="222"/>
        <v>0.9073729217857387</v>
      </c>
      <c r="CA150" s="6">
        <f t="shared" si="223"/>
        <v>90.737292178573867</v>
      </c>
      <c r="CD150" s="577">
        <f t="shared" si="262"/>
        <v>-50</v>
      </c>
      <c r="CE150">
        <f t="shared" si="263"/>
        <v>-50</v>
      </c>
    </row>
    <row r="151" spans="5:83" x14ac:dyDescent="0.2">
      <c r="E151" s="175">
        <v>41</v>
      </c>
      <c r="F151" s="222">
        <f t="shared" si="264"/>
        <v>0.32800000000000001</v>
      </c>
      <c r="G151" s="222"/>
      <c r="H151" s="222">
        <f t="shared" si="235"/>
        <v>3.9359999999999999</v>
      </c>
      <c r="I151" s="556">
        <f t="shared" si="236"/>
        <v>9</v>
      </c>
      <c r="J151" s="452">
        <f t="shared" si="237"/>
        <v>12.25</v>
      </c>
      <c r="K151" s="452">
        <f t="shared" si="238"/>
        <v>21.25</v>
      </c>
      <c r="L151" s="452"/>
      <c r="M151" s="222">
        <f t="shared" si="239"/>
        <v>0.57647058823529407</v>
      </c>
      <c r="N151" s="177">
        <f t="shared" si="240"/>
        <v>10.104088235294114</v>
      </c>
      <c r="O151" s="177">
        <f t="shared" si="231"/>
        <v>3.9359999999999999</v>
      </c>
      <c r="P151" s="222">
        <f t="shared" si="241"/>
        <v>0.84200735294117612</v>
      </c>
      <c r="Q151" s="222">
        <f t="shared" si="242"/>
        <v>12</v>
      </c>
      <c r="R151" s="222"/>
      <c r="S151" s="177">
        <f t="shared" si="243"/>
        <v>44.487793048598874</v>
      </c>
      <c r="T151" s="177">
        <f t="shared" si="244"/>
        <v>12</v>
      </c>
      <c r="U151" s="222">
        <f t="shared" si="245"/>
        <v>1.597135696383817</v>
      </c>
      <c r="V151" s="222">
        <f t="shared" si="246"/>
        <v>1.2422166527429688</v>
      </c>
      <c r="W151" s="222">
        <f t="shared" si="247"/>
        <v>0.91264896936218121</v>
      </c>
      <c r="X151" s="202">
        <f t="shared" si="248"/>
        <v>350</v>
      </c>
      <c r="Y151" s="452">
        <f t="shared" si="190"/>
        <v>350</v>
      </c>
      <c r="AA151" s="222">
        <f t="shared" si="249"/>
        <v>2.1176470588235294</v>
      </c>
      <c r="AB151" s="178">
        <f t="shared" si="250"/>
        <v>1.2100840336134453</v>
      </c>
      <c r="AC151" s="178">
        <f t="shared" si="251"/>
        <v>0.4484429065743944</v>
      </c>
      <c r="AD151" s="178"/>
      <c r="AE151" s="178">
        <f t="shared" si="252"/>
        <v>0.46857142857142853</v>
      </c>
      <c r="AF151" s="560">
        <f>MAX(12000,F151/(0.5*AE151/1000000*Isw_min*Nps))/1000</f>
        <v>1707.3170731707321</v>
      </c>
      <c r="AG151" s="543">
        <f t="shared" si="253"/>
        <v>6.723999999999998E-2</v>
      </c>
      <c r="AI151" s="178">
        <f t="shared" si="254"/>
        <v>1.8110770276274835</v>
      </c>
      <c r="AJ151" s="178">
        <f t="shared" si="255"/>
        <v>1.8110770276274835</v>
      </c>
      <c r="AK151" s="178">
        <f t="shared" si="256"/>
        <v>1.9341311315759135</v>
      </c>
      <c r="AM151" s="560">
        <f t="shared" si="257"/>
        <v>328</v>
      </c>
      <c r="AN151" s="470">
        <f t="shared" si="258"/>
        <v>350</v>
      </c>
      <c r="AP151" s="470">
        <f t="shared" si="259"/>
        <v>328</v>
      </c>
      <c r="AQ151" s="470">
        <f t="shared" si="260"/>
        <v>350</v>
      </c>
      <c r="AS151" s="6">
        <f t="shared" si="232"/>
        <v>2.8571428571428572</v>
      </c>
      <c r="AT151" s="6">
        <f t="shared" si="261"/>
        <v>1.4086154659324872</v>
      </c>
      <c r="AU151" s="6">
        <f t="shared" si="204"/>
        <v>1.44852739121037</v>
      </c>
      <c r="AV151" s="6"/>
      <c r="AW151" s="178">
        <f t="shared" si="205"/>
        <v>0.49301541307637053</v>
      </c>
      <c r="AX151" s="178">
        <f t="shared" si="228"/>
        <v>4.0180000000000007</v>
      </c>
      <c r="AY151" s="178">
        <f t="shared" si="229"/>
        <v>0.4590940693692972</v>
      </c>
      <c r="AZ151" s="178">
        <f t="shared" si="233"/>
        <v>8.752018960994036</v>
      </c>
      <c r="BA151" s="470">
        <f>L*Isw_max^2/(2*Vout_ripple*Vout)*1000000000*((1+M151)/2)^2</f>
        <v>25.385458958093036</v>
      </c>
      <c r="BB151" s="470">
        <f>L*F151^2/(2*Cout*Vout*Nps^2)*1000000000*((1+M151)/(1-M151))^2+F151*RCoutEsr</f>
        <v>10.233989142807109</v>
      </c>
      <c r="BC151" s="6">
        <f t="shared" si="206"/>
        <v>0.98789756323223155</v>
      </c>
      <c r="BD151" s="470">
        <f>((BY151/I151/Efficiency)*AU151/Cin+(BY151/I151/Efficiency)*RCinEsr)*1000</f>
        <v>68.064138149754584</v>
      </c>
      <c r="BF151" s="178">
        <f t="shared" si="234"/>
        <v>0.73418675074091233</v>
      </c>
      <c r="BG151" s="178">
        <f t="shared" si="230"/>
        <v>0.7445153781956656</v>
      </c>
      <c r="BI151" s="543">
        <f t="shared" si="207"/>
        <v>5.9293320345984842E-2</v>
      </c>
      <c r="BJ151" s="543">
        <f t="shared" si="208"/>
        <v>6.7349426964897041E-2</v>
      </c>
      <c r="BK151" s="543">
        <f t="shared" si="209"/>
        <v>1.7499999999999998E-2</v>
      </c>
      <c r="BL151" s="543">
        <f t="shared" si="210"/>
        <v>3.5560546875000001E-2</v>
      </c>
      <c r="BM151">
        <f t="shared" si="211"/>
        <v>2.6099999999999999E-3</v>
      </c>
      <c r="BN151" s="470">
        <f t="shared" si="212"/>
        <v>182.31329418588189</v>
      </c>
      <c r="BO151" s="543">
        <f t="shared" si="213"/>
        <v>0.13120000000000001</v>
      </c>
      <c r="BR151" s="470">
        <f t="shared" si="214"/>
        <v>131.20000000000002</v>
      </c>
      <c r="BS151" s="543">
        <f t="shared" si="215"/>
        <v>2.1561207398539943E-2</v>
      </c>
      <c r="BT151" s="543">
        <f t="shared" si="216"/>
        <v>2.21721259347934E-2</v>
      </c>
      <c r="BU151" s="543">
        <f t="shared" si="217"/>
        <v>0</v>
      </c>
      <c r="BV151" s="543">
        <f t="shared" si="218"/>
        <v>4.3050000000000012E-2</v>
      </c>
      <c r="BW151" s="470">
        <f t="shared" si="219"/>
        <v>86.783333333333346</v>
      </c>
      <c r="BX151" s="178">
        <f t="shared" si="220"/>
        <v>0.4002966275192153</v>
      </c>
      <c r="BY151" s="6">
        <f t="shared" si="221"/>
        <v>3.9359999999999999</v>
      </c>
      <c r="BZ151" s="178">
        <f t="shared" si="222"/>
        <v>0.90768698225604927</v>
      </c>
      <c r="CA151" s="6">
        <f t="shared" si="223"/>
        <v>90.768698225604922</v>
      </c>
      <c r="CD151" s="577">
        <f t="shared" si="262"/>
        <v>-50</v>
      </c>
      <c r="CE151">
        <f t="shared" si="263"/>
        <v>-50</v>
      </c>
    </row>
    <row r="152" spans="5:83" x14ac:dyDescent="0.2">
      <c r="E152" s="175">
        <v>42</v>
      </c>
      <c r="F152" s="222">
        <f t="shared" si="264"/>
        <v>0.33600000000000002</v>
      </c>
      <c r="G152" s="222"/>
      <c r="H152" s="222">
        <f t="shared" si="235"/>
        <v>4.032</v>
      </c>
      <c r="I152" s="556">
        <f t="shared" si="236"/>
        <v>9</v>
      </c>
      <c r="J152" s="452">
        <f t="shared" si="237"/>
        <v>12.25</v>
      </c>
      <c r="K152" s="452">
        <f t="shared" si="238"/>
        <v>21.25</v>
      </c>
      <c r="L152" s="452"/>
      <c r="M152" s="222">
        <f t="shared" si="239"/>
        <v>0.57647058823529407</v>
      </c>
      <c r="N152" s="177">
        <f t="shared" si="240"/>
        <v>10.104088235294114</v>
      </c>
      <c r="O152" s="177">
        <f t="shared" si="231"/>
        <v>4.032</v>
      </c>
      <c r="P152" s="222">
        <f t="shared" si="241"/>
        <v>0.84200735294117612</v>
      </c>
      <c r="Q152" s="222">
        <f t="shared" si="242"/>
        <v>12</v>
      </c>
      <c r="R152" s="222"/>
      <c r="S152" s="177">
        <f t="shared" si="243"/>
        <v>43.216942047165105</v>
      </c>
      <c r="T152" s="177">
        <f t="shared" si="244"/>
        <v>12</v>
      </c>
      <c r="U152" s="222">
        <f t="shared" si="245"/>
        <v>1.63609022556391</v>
      </c>
      <c r="V152" s="222">
        <f t="shared" si="246"/>
        <v>1.272514619883041</v>
      </c>
      <c r="W152" s="222">
        <f t="shared" si="247"/>
        <v>0.93490870032223428</v>
      </c>
      <c r="X152" s="202">
        <f t="shared" si="248"/>
        <v>350</v>
      </c>
      <c r="Y152" s="452">
        <f t="shared" si="190"/>
        <v>350</v>
      </c>
      <c r="AA152" s="222">
        <f t="shared" si="249"/>
        <v>2.1176470588235294</v>
      </c>
      <c r="AB152" s="178">
        <f t="shared" si="250"/>
        <v>1.2100840336134453</v>
      </c>
      <c r="AC152" s="178">
        <f t="shared" si="251"/>
        <v>0.4484429065743944</v>
      </c>
      <c r="AD152" s="178"/>
      <c r="AE152" s="178">
        <f t="shared" si="252"/>
        <v>0.46857142857142853</v>
      </c>
      <c r="AF152" s="560">
        <f>MAX(12000,F152/(0.5*AE152/1000000*Isw_min*Nps))/1000</f>
        <v>1748.9589530041646</v>
      </c>
      <c r="AG152" s="543">
        <f t="shared" si="253"/>
        <v>6.723999999999998E-2</v>
      </c>
      <c r="AI152" s="178">
        <f t="shared" si="254"/>
        <v>1.8330302779823362</v>
      </c>
      <c r="AJ152" s="178">
        <f t="shared" si="255"/>
        <v>1.8330302779823362</v>
      </c>
      <c r="AK152" s="178">
        <f t="shared" si="256"/>
        <v>1.9503927985054343</v>
      </c>
      <c r="AM152" s="560">
        <f t="shared" si="257"/>
        <v>336</v>
      </c>
      <c r="AN152" s="470">
        <f t="shared" si="258"/>
        <v>350</v>
      </c>
      <c r="AP152" s="470">
        <f t="shared" si="259"/>
        <v>336</v>
      </c>
      <c r="AQ152" s="470">
        <f t="shared" si="260"/>
        <v>350</v>
      </c>
      <c r="AS152" s="6">
        <f t="shared" si="232"/>
        <v>2.8571428571428572</v>
      </c>
      <c r="AT152" s="6">
        <f t="shared" si="261"/>
        <v>1.4256902162084837</v>
      </c>
      <c r="AU152" s="6">
        <f t="shared" si="204"/>
        <v>1.4314526409343735</v>
      </c>
      <c r="AV152" s="6"/>
      <c r="AW152" s="178">
        <f t="shared" si="205"/>
        <v>0.49899157567296926</v>
      </c>
      <c r="AX152" s="178">
        <f t="shared" si="228"/>
        <v>4.1160000000000005</v>
      </c>
      <c r="AY152" s="178">
        <f t="shared" si="229"/>
        <v>0.45918180565783473</v>
      </c>
      <c r="AZ152" s="178">
        <f t="shared" si="233"/>
        <v>8.9637697950669484</v>
      </c>
      <c r="BA152" s="470">
        <f>L*Isw_max^2/(2*Vout_ripple*Vout)*1000000000*((1+M152)/2)^2</f>
        <v>25.385458958093036</v>
      </c>
      <c r="BB152" s="470">
        <f>L*F152^2/(2*Cout*Vout*Nps^2)*1000000000*((1+M152)/(1-M152))^2+F152*RCoutEsr</f>
        <v>10.714710795902285</v>
      </c>
      <c r="BC152" s="6">
        <f t="shared" si="206"/>
        <v>1.0000635994364122</v>
      </c>
      <c r="BD152" s="470">
        <f>((BY152/I152/Efficiency)*AU152/Cin+(BY152/I152/Efficiency)*RCinEsr)*1000</f>
        <v>68.919029804063101</v>
      </c>
      <c r="BF152" s="178">
        <f t="shared" si="234"/>
        <v>0.7475764608076727</v>
      </c>
      <c r="BG152" s="178">
        <f t="shared" si="230"/>
        <v>0.74908573290797265</v>
      </c>
      <c r="BI152" s="543">
        <f t="shared" si="207"/>
        <v>6.1475762122909831E-2</v>
      </c>
      <c r="BJ152" s="543">
        <f t="shared" si="208"/>
        <v>6.8165813462468125E-2</v>
      </c>
      <c r="BK152" s="543">
        <f t="shared" si="209"/>
        <v>1.7499999999999998E-2</v>
      </c>
      <c r="BL152" s="543">
        <f t="shared" si="210"/>
        <v>3.5560546875000001E-2</v>
      </c>
      <c r="BM152">
        <f t="shared" si="211"/>
        <v>2.6099999999999999E-3</v>
      </c>
      <c r="BN152" s="470">
        <f t="shared" si="212"/>
        <v>185.31212246037794</v>
      </c>
      <c r="BO152" s="543">
        <f t="shared" si="213"/>
        <v>0.13440000000000002</v>
      </c>
      <c r="BR152" s="470">
        <f t="shared" si="214"/>
        <v>134.4</v>
      </c>
      <c r="BS152" s="543">
        <f t="shared" si="215"/>
        <v>2.235482259014903E-2</v>
      </c>
      <c r="BT152" s="543">
        <f t="shared" si="216"/>
        <v>2.2445177409850983E-2</v>
      </c>
      <c r="BU152" s="543">
        <f t="shared" si="217"/>
        <v>0</v>
      </c>
      <c r="BV152" s="543">
        <f t="shared" si="218"/>
        <v>4.4100000000000014E-2</v>
      </c>
      <c r="BW152" s="470">
        <f t="shared" si="219"/>
        <v>88.900000000000034</v>
      </c>
      <c r="BX152" s="178">
        <f t="shared" si="220"/>
        <v>0.40861212246037798</v>
      </c>
      <c r="BY152" s="6">
        <f t="shared" si="221"/>
        <v>4.032</v>
      </c>
      <c r="BZ152" s="178">
        <f t="shared" si="222"/>
        <v>0.90798292866119978</v>
      </c>
      <c r="CA152" s="6">
        <f t="shared" si="223"/>
        <v>90.798292866119979</v>
      </c>
      <c r="CD152" s="577">
        <f t="shared" si="262"/>
        <v>-50</v>
      </c>
      <c r="CE152">
        <f t="shared" si="263"/>
        <v>-50</v>
      </c>
    </row>
    <row r="153" spans="5:83" x14ac:dyDescent="0.2">
      <c r="E153" s="175">
        <v>43</v>
      </c>
      <c r="F153" s="222">
        <f t="shared" si="264"/>
        <v>0.34400000000000003</v>
      </c>
      <c r="G153" s="222"/>
      <c r="H153" s="222">
        <f t="shared" si="235"/>
        <v>4.1280000000000001</v>
      </c>
      <c r="I153" s="556">
        <f t="shared" si="236"/>
        <v>9</v>
      </c>
      <c r="J153" s="452">
        <f t="shared" si="237"/>
        <v>12.25</v>
      </c>
      <c r="K153" s="452">
        <f t="shared" si="238"/>
        <v>21.25</v>
      </c>
      <c r="L153" s="452"/>
      <c r="M153" s="222">
        <f t="shared" si="239"/>
        <v>0.57647058823529407</v>
      </c>
      <c r="N153" s="177">
        <f t="shared" si="240"/>
        <v>10.104088235294114</v>
      </c>
      <c r="O153" s="177">
        <f t="shared" si="231"/>
        <v>4.1280000000000001</v>
      </c>
      <c r="P153" s="222">
        <f t="shared" si="241"/>
        <v>0.84200735294117612</v>
      </c>
      <c r="Q153" s="222">
        <f t="shared" si="242"/>
        <v>12</v>
      </c>
      <c r="R153" s="222"/>
      <c r="S153" s="177">
        <f t="shared" si="243"/>
        <v>42.005282663836368</v>
      </c>
      <c r="T153" s="177">
        <f t="shared" si="244"/>
        <v>12</v>
      </c>
      <c r="U153" s="222">
        <f t="shared" si="245"/>
        <v>1.6750447547440033</v>
      </c>
      <c r="V153" s="222">
        <f t="shared" si="246"/>
        <v>1.3028125870231135</v>
      </c>
      <c r="W153" s="222">
        <f t="shared" si="247"/>
        <v>0.95716843128228757</v>
      </c>
      <c r="X153" s="202">
        <f t="shared" si="248"/>
        <v>350</v>
      </c>
      <c r="Y153" s="452">
        <f t="shared" si="190"/>
        <v>350</v>
      </c>
      <c r="AA153" s="222">
        <f t="shared" si="249"/>
        <v>2.1176470588235294</v>
      </c>
      <c r="AB153" s="178">
        <f t="shared" si="250"/>
        <v>1.2100840336134453</v>
      </c>
      <c r="AC153" s="178">
        <f t="shared" si="251"/>
        <v>0.4484429065743944</v>
      </c>
      <c r="AD153" s="178"/>
      <c r="AE153" s="178">
        <f t="shared" si="252"/>
        <v>0.46857142857142853</v>
      </c>
      <c r="AF153" s="560">
        <f>MAX(12000,F153/(0.5*AE153/1000000*Isw_min*Nps))/1000</f>
        <v>1790.6008328375972</v>
      </c>
      <c r="AG153" s="543">
        <f t="shared" si="253"/>
        <v>6.723999999999998E-2</v>
      </c>
      <c r="AI153" s="178">
        <f t="shared" si="254"/>
        <v>1.8547236990991409</v>
      </c>
      <c r="AJ153" s="178">
        <f t="shared" si="255"/>
        <v>1.8547236990991409</v>
      </c>
      <c r="AK153" s="178">
        <f t="shared" si="256"/>
        <v>1.9664619993326968</v>
      </c>
      <c r="AM153" s="560">
        <f t="shared" si="257"/>
        <v>344</v>
      </c>
      <c r="AN153" s="470">
        <f t="shared" si="258"/>
        <v>350</v>
      </c>
      <c r="AP153" s="470">
        <f t="shared" si="259"/>
        <v>344</v>
      </c>
      <c r="AQ153" s="470">
        <f t="shared" si="260"/>
        <v>350</v>
      </c>
      <c r="AS153" s="6">
        <f t="shared" si="232"/>
        <v>2.8571428571428572</v>
      </c>
      <c r="AT153" s="6">
        <f t="shared" si="261"/>
        <v>1.4425628770771097</v>
      </c>
      <c r="AU153" s="6">
        <f t="shared" si="204"/>
        <v>1.4145799800657475</v>
      </c>
      <c r="AV153" s="6"/>
      <c r="AW153" s="178">
        <f t="shared" si="205"/>
        <v>0.50489700697698836</v>
      </c>
      <c r="AX153" s="178">
        <f t="shared" si="228"/>
        <v>4.2140000000000004</v>
      </c>
      <c r="AY153" s="178">
        <f t="shared" si="229"/>
        <v>0.45913962732734814</v>
      </c>
      <c r="AZ153" s="178">
        <f t="shared" si="233"/>
        <v>9.1780359376290281</v>
      </c>
      <c r="BA153" s="470">
        <f>L*Isw_max^2/(2*Vout_ripple*Vout)*1000000000*((1+M153)/2)^2</f>
        <v>25.385458958093036</v>
      </c>
      <c r="BB153" s="470">
        <f>L*F153^2/(2*Cout*Vout*Nps^2)*1000000000*((1+M153)/(1-M153))^2+F153*RCoutEsr</f>
        <v>11.206437790035901</v>
      </c>
      <c r="BC153" s="6">
        <f t="shared" si="206"/>
        <v>1.0118061351893275</v>
      </c>
      <c r="BD153" s="470">
        <f>((BY153/I153/Efficiency)*AU153/Cin+(BY153/I153/Efficiency)*RCinEsr)*1000</f>
        <v>69.745335177911187</v>
      </c>
      <c r="BF153" s="178">
        <f t="shared" si="234"/>
        <v>0.76088669853026092</v>
      </c>
      <c r="BG153" s="178">
        <f t="shared" si="230"/>
        <v>0.75347070192966814</v>
      </c>
      <c r="BI153" s="543">
        <f t="shared" si="207"/>
        <v>6.3684342480030812E-2</v>
      </c>
      <c r="BJ153" s="543">
        <f t="shared" si="208"/>
        <v>6.897253756024932E-2</v>
      </c>
      <c r="BK153" s="543">
        <f t="shared" si="209"/>
        <v>1.7499999999999998E-2</v>
      </c>
      <c r="BL153" s="543">
        <f t="shared" si="210"/>
        <v>3.5560546875000001E-2</v>
      </c>
      <c r="BM153">
        <f t="shared" si="211"/>
        <v>2.6099999999999999E-3</v>
      </c>
      <c r="BN153" s="470">
        <f t="shared" si="212"/>
        <v>188.32742691528014</v>
      </c>
      <c r="BO153" s="543">
        <f t="shared" si="213"/>
        <v>0.13760000000000003</v>
      </c>
      <c r="BR153" s="470">
        <f t="shared" si="214"/>
        <v>137.60000000000002</v>
      </c>
      <c r="BS153" s="543">
        <f t="shared" si="215"/>
        <v>2.3157942720011208E-2</v>
      </c>
      <c r="BT153" s="543">
        <f t="shared" si="216"/>
        <v>2.2708723946655473E-2</v>
      </c>
      <c r="BU153" s="543">
        <f t="shared" si="217"/>
        <v>0</v>
      </c>
      <c r="BV153" s="543">
        <f t="shared" si="218"/>
        <v>4.5150000000000023E-2</v>
      </c>
      <c r="BW153" s="470">
        <f t="shared" si="219"/>
        <v>91.016666666666708</v>
      </c>
      <c r="BX153" s="178">
        <f t="shared" si="220"/>
        <v>0.4169440935819469</v>
      </c>
      <c r="BY153" s="6">
        <f t="shared" si="221"/>
        <v>4.1280000000000001</v>
      </c>
      <c r="BZ153" s="178">
        <f t="shared" si="222"/>
        <v>0.90826199728821178</v>
      </c>
      <c r="CA153" s="6">
        <f t="shared" si="223"/>
        <v>90.82619972882118</v>
      </c>
      <c r="CD153" s="577">
        <f t="shared" si="262"/>
        <v>-50</v>
      </c>
      <c r="CE153">
        <f t="shared" si="263"/>
        <v>-50</v>
      </c>
    </row>
    <row r="154" spans="5:83" x14ac:dyDescent="0.2">
      <c r="E154" s="175">
        <v>44</v>
      </c>
      <c r="F154" s="222">
        <f t="shared" si="264"/>
        <v>0.35200000000000004</v>
      </c>
      <c r="G154" s="222"/>
      <c r="H154" s="222">
        <f t="shared" si="235"/>
        <v>4.2240000000000002</v>
      </c>
      <c r="I154" s="556">
        <f t="shared" si="236"/>
        <v>9</v>
      </c>
      <c r="J154" s="452">
        <f t="shared" si="237"/>
        <v>12.25</v>
      </c>
      <c r="K154" s="452">
        <f t="shared" si="238"/>
        <v>21.25</v>
      </c>
      <c r="L154" s="452"/>
      <c r="M154" s="222">
        <f t="shared" si="239"/>
        <v>0.57647058823529407</v>
      </c>
      <c r="N154" s="177">
        <f t="shared" si="240"/>
        <v>10.104088235294114</v>
      </c>
      <c r="O154" s="177">
        <f t="shared" si="231"/>
        <v>4.2240000000000002</v>
      </c>
      <c r="P154" s="222">
        <f t="shared" si="241"/>
        <v>0.84200735294117612</v>
      </c>
      <c r="Q154" s="222">
        <f t="shared" si="242"/>
        <v>12</v>
      </c>
      <c r="R154" s="222"/>
      <c r="S154" s="177">
        <f t="shared" si="243"/>
        <v>40.848780241203443</v>
      </c>
      <c r="T154" s="177">
        <f t="shared" si="244"/>
        <v>12</v>
      </c>
      <c r="U154" s="222">
        <f t="shared" si="245"/>
        <v>1.7139992839240963</v>
      </c>
      <c r="V154" s="222">
        <f t="shared" si="246"/>
        <v>1.333110554163186</v>
      </c>
      <c r="W154" s="222">
        <f t="shared" si="247"/>
        <v>0.97942816224234075</v>
      </c>
      <c r="X154" s="202">
        <f t="shared" si="248"/>
        <v>350</v>
      </c>
      <c r="Y154" s="452">
        <f t="shared" si="190"/>
        <v>350</v>
      </c>
      <c r="AA154" s="222">
        <f t="shared" si="249"/>
        <v>2.1176470588235294</v>
      </c>
      <c r="AB154" s="178">
        <f t="shared" si="250"/>
        <v>1.2100840336134453</v>
      </c>
      <c r="AC154" s="178">
        <f t="shared" si="251"/>
        <v>0.4484429065743944</v>
      </c>
      <c r="AD154" s="178"/>
      <c r="AE154" s="178">
        <f t="shared" si="252"/>
        <v>0.46857142857142853</v>
      </c>
      <c r="AF154" s="560">
        <f>MAX(12000,F154/(0.5*AE154/1000000*Isw_min*Nps))/1000</f>
        <v>1832.2427126710297</v>
      </c>
      <c r="AG154" s="543">
        <f t="shared" si="253"/>
        <v>6.723999999999998E-2</v>
      </c>
      <c r="AI154" s="178">
        <f t="shared" si="254"/>
        <v>1.8761663039293719</v>
      </c>
      <c r="AJ154" s="178">
        <f t="shared" si="255"/>
        <v>1.8761663039293719</v>
      </c>
      <c r="AK154" s="178">
        <f t="shared" si="256"/>
        <v>1.9823454103180533</v>
      </c>
      <c r="AM154" s="560">
        <f t="shared" si="257"/>
        <v>352.00000000000006</v>
      </c>
      <c r="AN154" s="470">
        <f t="shared" si="258"/>
        <v>350</v>
      </c>
      <c r="AP154" s="470">
        <f t="shared" si="259"/>
        <v>352.00000000000006</v>
      </c>
      <c r="AQ154" s="470">
        <f t="shared" si="260"/>
        <v>350</v>
      </c>
      <c r="AS154" s="6">
        <f t="shared" si="232"/>
        <v>2.8571428571428572</v>
      </c>
      <c r="AT154" s="6">
        <f t="shared" si="261"/>
        <v>1.4592404586117336</v>
      </c>
      <c r="AU154" s="6">
        <f t="shared" si="204"/>
        <v>1.3979023985311236</v>
      </c>
      <c r="AV154" s="6"/>
      <c r="AW154" s="178">
        <f t="shared" si="205"/>
        <v>0.51073416051410669</v>
      </c>
      <c r="AX154" s="178">
        <f t="shared" si="228"/>
        <v>4.3120000000000003</v>
      </c>
      <c r="AY154" s="178">
        <f t="shared" si="229"/>
        <v>0.4589720408535749</v>
      </c>
      <c r="AZ154" s="178">
        <f t="shared" si="233"/>
        <v>9.3949077856262075</v>
      </c>
      <c r="BA154" s="470">
        <f>L*Isw_max^2/(2*Vout_ripple*Vout)*1000000000*((1+M154)/2)^2</f>
        <v>25.385458958093036</v>
      </c>
      <c r="BB154" s="470">
        <f>L*F154^2/(2*Cout*Vout*Nps^2)*1000000000*((1+M154)/(1-M154))^2+F154*RCoutEsr</f>
        <v>11.709170125207951</v>
      </c>
      <c r="BC154" s="6">
        <f t="shared" si="206"/>
        <v>1.0231301245649498</v>
      </c>
      <c r="BD154" s="470">
        <f>((BY154/I154/Efficiency)*AU154/Cin+(BY154/I154/Efficiency)*RCinEsr)*1000</f>
        <v>70.543388671292021</v>
      </c>
      <c r="BF154" s="178">
        <f t="shared" si="234"/>
        <v>0.77411976786749126</v>
      </c>
      <c r="BG154" s="178">
        <f t="shared" si="230"/>
        <v>0.75767533834097756</v>
      </c>
      <c r="BI154" s="543">
        <f t="shared" si="207"/>
        <v>6.591875565035403E-2</v>
      </c>
      <c r="BJ154" s="543">
        <f t="shared" si="208"/>
        <v>6.9769934427373517E-2</v>
      </c>
      <c r="BK154" s="543">
        <f t="shared" si="209"/>
        <v>1.7499999999999998E-2</v>
      </c>
      <c r="BL154" s="543">
        <f t="shared" si="210"/>
        <v>3.5560546875000001E-2</v>
      </c>
      <c r="BM154">
        <f t="shared" si="211"/>
        <v>2.6099999999999999E-3</v>
      </c>
      <c r="BN154" s="470">
        <f t="shared" si="212"/>
        <v>191.35923695272754</v>
      </c>
      <c r="BO154" s="543">
        <f t="shared" si="213"/>
        <v>0.14080000000000001</v>
      </c>
      <c r="BR154" s="470">
        <f t="shared" si="214"/>
        <v>140.80000000000001</v>
      </c>
      <c r="BS154" s="543">
        <f t="shared" si="215"/>
        <v>2.3970456600128739E-2</v>
      </c>
      <c r="BT154" s="543">
        <f t="shared" si="216"/>
        <v>2.2962876733204594E-2</v>
      </c>
      <c r="BU154" s="543">
        <f t="shared" si="217"/>
        <v>0</v>
      </c>
      <c r="BV154" s="543">
        <f t="shared" si="218"/>
        <v>4.6200000000000019E-2</v>
      </c>
      <c r="BW154" s="470">
        <f t="shared" si="219"/>
        <v>93.13333333333334</v>
      </c>
      <c r="BX154" s="178">
        <f t="shared" si="220"/>
        <v>0.42529257028606088</v>
      </c>
      <c r="BY154" s="6">
        <f t="shared" si="221"/>
        <v>4.2240000000000002</v>
      </c>
      <c r="BZ154" s="178">
        <f t="shared" si="222"/>
        <v>0.90852531565680894</v>
      </c>
      <c r="CA154" s="6">
        <f t="shared" si="223"/>
        <v>90.852531565680891</v>
      </c>
      <c r="CD154" s="577">
        <f t="shared" si="262"/>
        <v>-50</v>
      </c>
      <c r="CE154">
        <f t="shared" si="263"/>
        <v>-50</v>
      </c>
    </row>
    <row r="155" spans="5:83" x14ac:dyDescent="0.2">
      <c r="E155" s="175">
        <v>45</v>
      </c>
      <c r="F155" s="222">
        <f t="shared" si="264"/>
        <v>0.36000000000000004</v>
      </c>
      <c r="G155" s="222"/>
      <c r="H155" s="222">
        <f t="shared" si="235"/>
        <v>4.32</v>
      </c>
      <c r="I155" s="556">
        <f t="shared" si="236"/>
        <v>9</v>
      </c>
      <c r="J155" s="452">
        <f t="shared" si="237"/>
        <v>12.25</v>
      </c>
      <c r="K155" s="452">
        <f t="shared" si="238"/>
        <v>21.25</v>
      </c>
      <c r="L155" s="452"/>
      <c r="M155" s="222">
        <f t="shared" si="239"/>
        <v>0.57647058823529407</v>
      </c>
      <c r="N155" s="177">
        <f t="shared" si="240"/>
        <v>10.104088235294114</v>
      </c>
      <c r="O155" s="177">
        <f t="shared" si="231"/>
        <v>4.32</v>
      </c>
      <c r="P155" s="222">
        <f t="shared" si="241"/>
        <v>0.84200735294117612</v>
      </c>
      <c r="Q155" s="222">
        <f t="shared" si="242"/>
        <v>12</v>
      </c>
      <c r="R155" s="222"/>
      <c r="S155" s="177">
        <f t="shared" si="243"/>
        <v>39.743758778087951</v>
      </c>
      <c r="T155" s="177">
        <f t="shared" si="244"/>
        <v>12</v>
      </c>
      <c r="U155" s="222">
        <f t="shared" si="245"/>
        <v>1.7529538131041895</v>
      </c>
      <c r="V155" s="222">
        <f t="shared" si="246"/>
        <v>1.3634085213032583</v>
      </c>
      <c r="W155" s="222">
        <f t="shared" si="247"/>
        <v>1.001687893202394</v>
      </c>
      <c r="X155" s="202">
        <f t="shared" si="248"/>
        <v>350</v>
      </c>
      <c r="Y155" s="452">
        <f t="shared" si="190"/>
        <v>350</v>
      </c>
      <c r="AA155" s="222">
        <f t="shared" si="249"/>
        <v>2.1176470588235294</v>
      </c>
      <c r="AB155" s="178">
        <f t="shared" si="250"/>
        <v>1.2100840336134453</v>
      </c>
      <c r="AC155" s="178">
        <f t="shared" si="251"/>
        <v>0.4484429065743944</v>
      </c>
      <c r="AD155" s="178"/>
      <c r="AE155" s="178">
        <f t="shared" si="252"/>
        <v>0.46857142857142853</v>
      </c>
      <c r="AF155" s="560">
        <f>MAX(12000,F155/(0.5*AE155/1000000*Isw_min*Nps))/1000</f>
        <v>1873.8845925044623</v>
      </c>
      <c r="AG155" s="543">
        <f t="shared" si="253"/>
        <v>6.723999999999998E-2</v>
      </c>
      <c r="AI155" s="178">
        <f t="shared" si="254"/>
        <v>1.8973665961010278</v>
      </c>
      <c r="AJ155" s="178">
        <f t="shared" si="255"/>
        <v>1.8973665961010278</v>
      </c>
      <c r="AK155" s="178">
        <f t="shared" si="256"/>
        <v>1.9980493304452056</v>
      </c>
      <c r="AM155" s="560">
        <f t="shared" si="257"/>
        <v>360.00000000000006</v>
      </c>
      <c r="AN155" s="470">
        <f t="shared" si="258"/>
        <v>350</v>
      </c>
      <c r="AP155" s="470">
        <f t="shared" si="259"/>
        <v>360.00000000000006</v>
      </c>
      <c r="AQ155" s="470">
        <f t="shared" si="260"/>
        <v>350</v>
      </c>
      <c r="AS155" s="6">
        <f t="shared" si="232"/>
        <v>2.8571428571428572</v>
      </c>
      <c r="AT155" s="6">
        <f t="shared" si="261"/>
        <v>1.4757295747452437</v>
      </c>
      <c r="AU155" s="6">
        <f t="shared" si="204"/>
        <v>1.3814132823976135</v>
      </c>
      <c r="AV155" s="6"/>
      <c r="AW155" s="178">
        <f t="shared" si="205"/>
        <v>0.51650535116083529</v>
      </c>
      <c r="AX155" s="178">
        <f t="shared" si="228"/>
        <v>4.410000000000001</v>
      </c>
      <c r="AY155" s="178">
        <f t="shared" si="229"/>
        <v>0.45868329805051383</v>
      </c>
      <c r="AZ155" s="178">
        <f t="shared" si="233"/>
        <v>9.6144769577250599</v>
      </c>
      <c r="BA155" s="470">
        <f>L*Isw_max^2/(2*Vout_ripple*Vout)*1000000000*((1+M155)/2)^2</f>
        <v>25.385458958093036</v>
      </c>
      <c r="BB155" s="470">
        <f>L*F155^2/(2*Cout*Vout*Nps^2)*1000000000*((1+M155)/(1-M155))^2+F155*RCoutEsr</f>
        <v>12.22290780141844</v>
      </c>
      <c r="BC155" s="6">
        <f t="shared" si="206"/>
        <v>1.0340403517362255</v>
      </c>
      <c r="BD155" s="470">
        <f>((BY155/I155/Efficiency)*AU155/Cin+(BY155/I155/Efficiency)*RCinEsr)*1000</f>
        <v>71.313513215879425</v>
      </c>
      <c r="BF155" s="178">
        <f t="shared" si="234"/>
        <v>0.78727785526648875</v>
      </c>
      <c r="BG155" s="178">
        <f t="shared" si="230"/>
        <v>0.7617043905656562</v>
      </c>
      <c r="BI155" s="543">
        <f t="shared" si="207"/>
        <v>6.8178706353230256E-2</v>
      </c>
      <c r="BJ155" s="543">
        <f t="shared" si="208"/>
        <v>7.0558320292506971E-2</v>
      </c>
      <c r="BK155" s="543">
        <f t="shared" si="209"/>
        <v>1.7499999999999998E-2</v>
      </c>
      <c r="BL155" s="543">
        <f t="shared" si="210"/>
        <v>3.5560546875000001E-2</v>
      </c>
      <c r="BM155">
        <f t="shared" si="211"/>
        <v>2.6099999999999999E-3</v>
      </c>
      <c r="BN155" s="470">
        <f t="shared" si="212"/>
        <v>194.40757352073723</v>
      </c>
      <c r="BO155" s="543">
        <f t="shared" si="213"/>
        <v>0.14400000000000002</v>
      </c>
      <c r="BR155" s="470">
        <f t="shared" si="214"/>
        <v>144.00000000000003</v>
      </c>
      <c r="BS155" s="543">
        <f t="shared" si="215"/>
        <v>2.4792256855720094E-2</v>
      </c>
      <c r="BT155" s="543">
        <f t="shared" si="216"/>
        <v>2.320774314427991E-2</v>
      </c>
      <c r="BU155" s="543">
        <f t="shared" si="217"/>
        <v>0</v>
      </c>
      <c r="BV155" s="543">
        <f t="shared" si="218"/>
        <v>4.7250000000000007E-2</v>
      </c>
      <c r="BW155" s="470">
        <f t="shared" si="219"/>
        <v>95.25</v>
      </c>
      <c r="BX155" s="178">
        <f t="shared" si="220"/>
        <v>0.43365757352073731</v>
      </c>
      <c r="BY155" s="6">
        <f t="shared" si="221"/>
        <v>4.32</v>
      </c>
      <c r="BZ155" s="178">
        <f t="shared" si="222"/>
        <v>0.9087739142305209</v>
      </c>
      <c r="CA155" s="6">
        <f t="shared" si="223"/>
        <v>90.877391423052089</v>
      </c>
      <c r="CD155" s="577">
        <f t="shared" si="262"/>
        <v>-50</v>
      </c>
      <c r="CE155">
        <f t="shared" si="263"/>
        <v>-50</v>
      </c>
    </row>
    <row r="156" spans="5:83" s="77" customFormat="1" x14ac:dyDescent="0.2">
      <c r="E156" s="194">
        <v>46</v>
      </c>
      <c r="F156" s="334">
        <f t="shared" si="264"/>
        <v>0.36800000000000005</v>
      </c>
      <c r="G156" s="334"/>
      <c r="H156" s="334">
        <f t="shared" si="235"/>
        <v>4.4160000000000004</v>
      </c>
      <c r="I156" s="556">
        <f t="shared" si="236"/>
        <v>9</v>
      </c>
      <c r="J156" s="452">
        <f t="shared" si="237"/>
        <v>12.25</v>
      </c>
      <c r="K156" s="550">
        <f t="shared" si="238"/>
        <v>21.25</v>
      </c>
      <c r="L156" s="550"/>
      <c r="M156" s="334">
        <f t="shared" si="239"/>
        <v>0.57647058823529407</v>
      </c>
      <c r="N156" s="551">
        <f t="shared" si="240"/>
        <v>10.104088235294114</v>
      </c>
      <c r="O156" s="177">
        <f t="shared" si="231"/>
        <v>4.4160000000000004</v>
      </c>
      <c r="P156" s="334">
        <f t="shared" si="241"/>
        <v>0.84200735294117612</v>
      </c>
      <c r="Q156" s="334">
        <f t="shared" si="242"/>
        <v>12</v>
      </c>
      <c r="R156" s="334"/>
      <c r="S156" s="177">
        <f t="shared" si="243"/>
        <v>38.686861945589499</v>
      </c>
      <c r="T156" s="177">
        <f t="shared" si="244"/>
        <v>12</v>
      </c>
      <c r="U156" s="222">
        <f t="shared" si="245"/>
        <v>1.7919083422842828</v>
      </c>
      <c r="V156" s="334">
        <f t="shared" si="246"/>
        <v>1.393706488443331</v>
      </c>
      <c r="W156" s="334">
        <f t="shared" si="247"/>
        <v>1.0239476241624472</v>
      </c>
      <c r="X156" s="552">
        <f t="shared" si="248"/>
        <v>350</v>
      </c>
      <c r="Y156" s="550">
        <f t="shared" si="190"/>
        <v>350</v>
      </c>
      <c r="AA156" s="334">
        <f t="shared" si="249"/>
        <v>2.1176470588235294</v>
      </c>
      <c r="AB156" s="553">
        <f t="shared" si="250"/>
        <v>1.2100840336134453</v>
      </c>
      <c r="AC156" s="553">
        <f t="shared" si="251"/>
        <v>0.4484429065743944</v>
      </c>
      <c r="AD156" s="553"/>
      <c r="AE156" s="553">
        <f t="shared" si="252"/>
        <v>0.46857142857142853</v>
      </c>
      <c r="AF156" s="560">
        <f>MAX(12000,F156/(0.5*AE156/1000000*Isw_min*Nps))/1000</f>
        <v>1915.5264723378948</v>
      </c>
      <c r="AG156" s="596">
        <f t="shared" si="253"/>
        <v>6.723999999999998E-2</v>
      </c>
      <c r="AI156" s="553">
        <f t="shared" si="254"/>
        <v>1.9183326093250879</v>
      </c>
      <c r="AJ156" s="553">
        <f t="shared" si="255"/>
        <v>1.9183326093250879</v>
      </c>
      <c r="AK156" s="553">
        <f t="shared" si="256"/>
        <v>2.0135797106111761</v>
      </c>
      <c r="AM156" s="579">
        <f t="shared" si="257"/>
        <v>368.00000000000006</v>
      </c>
      <c r="AN156" s="580">
        <f t="shared" si="258"/>
        <v>350</v>
      </c>
      <c r="AP156" s="77">
        <f t="shared" si="259"/>
        <v>368.00000000000006</v>
      </c>
      <c r="AQ156" s="77">
        <f t="shared" si="260"/>
        <v>350</v>
      </c>
      <c r="AS156" s="549">
        <f t="shared" si="232"/>
        <v>2.8571428571428572</v>
      </c>
      <c r="AT156" s="6">
        <f t="shared" si="261"/>
        <v>1.4920364739195127</v>
      </c>
      <c r="AU156" s="6">
        <f t="shared" si="204"/>
        <v>1.3651063832233445</v>
      </c>
      <c r="AV156" s="6"/>
      <c r="AW156" s="178">
        <f t="shared" si="205"/>
        <v>0.52221276587182941</v>
      </c>
      <c r="AX156" s="178">
        <f t="shared" si="228"/>
        <v>4.508</v>
      </c>
      <c r="AY156" s="178">
        <f t="shared" si="229"/>
        <v>0.45827741577365511</v>
      </c>
      <c r="AZ156" s="178">
        <f t="shared" si="233"/>
        <v>9.8368364768525218</v>
      </c>
      <c r="BA156" s="470">
        <f>L*Isw_max^2/(2*Vout_ripple*Vout)*1000000000*((1+M156)/2)^2</f>
        <v>25.385458958093036</v>
      </c>
      <c r="BB156" s="470">
        <f>L*F156^2/(2*Cout*Vout*Nps^2)*1000000000*((1+M156)/(1-M156))^2+F156*RCoutEsr</f>
        <v>12.747650818667367</v>
      </c>
      <c r="BC156" s="6">
        <f t="shared" si="206"/>
        <v>1.0445414404703124</v>
      </c>
      <c r="BD156" s="470">
        <f>((BY156/I156/Efficiency)*AU156/Cin+(BY156/I156/Efficiency)*RCinEsr)*1000</f>
        <v>72.056020915956594</v>
      </c>
      <c r="BF156" s="178">
        <f t="shared" si="234"/>
        <v>0.80036303812880905</v>
      </c>
      <c r="BG156" s="178">
        <f t="shared" si="230"/>
        <v>0.76556232526417423</v>
      </c>
      <c r="BI156" s="543">
        <f t="shared" si="207"/>
        <v>7.0463909208305517E-2</v>
      </c>
      <c r="BJ156" s="543">
        <f t="shared" si="208"/>
        <v>7.1337993909276712E-2</v>
      </c>
      <c r="BK156" s="543">
        <f t="shared" si="209"/>
        <v>1.7499999999999998E-2</v>
      </c>
      <c r="BL156" s="543">
        <f t="shared" si="210"/>
        <v>3.5560546875000001E-2</v>
      </c>
      <c r="BM156">
        <f t="shared" si="211"/>
        <v>2.6099999999999999E-3</v>
      </c>
      <c r="BN156" s="470">
        <f t="shared" si="212"/>
        <v>197.47244999258223</v>
      </c>
      <c r="BO156" s="543">
        <f t="shared" si="213"/>
        <v>0.14720000000000003</v>
      </c>
      <c r="BR156" s="470">
        <f t="shared" si="214"/>
        <v>147.20000000000002</v>
      </c>
      <c r="BS156" s="543">
        <f t="shared" si="215"/>
        <v>2.5623239712111098E-2</v>
      </c>
      <c r="BT156" s="543">
        <f t="shared" si="216"/>
        <v>2.3443426954555573E-2</v>
      </c>
      <c r="BU156" s="543">
        <f t="shared" si="217"/>
        <v>0</v>
      </c>
      <c r="BV156" s="543">
        <f t="shared" si="218"/>
        <v>4.830000000000001E-2</v>
      </c>
      <c r="BW156" s="470">
        <f t="shared" si="219"/>
        <v>97.366666666666688</v>
      </c>
      <c r="BX156" s="178">
        <f t="shared" si="220"/>
        <v>0.442039116659249</v>
      </c>
      <c r="BY156" s="6">
        <f t="shared" si="221"/>
        <v>4.4160000000000004</v>
      </c>
      <c r="BZ156" s="178">
        <f t="shared" si="222"/>
        <v>0.90900873664367943</v>
      </c>
      <c r="CA156" s="6">
        <f t="shared" si="223"/>
        <v>90.900873664367936</v>
      </c>
      <c r="CD156" s="577">
        <f t="shared" si="262"/>
        <v>-50</v>
      </c>
      <c r="CE156">
        <f t="shared" si="263"/>
        <v>-50</v>
      </c>
    </row>
    <row r="157" spans="5:83" x14ac:dyDescent="0.2">
      <c r="E157" s="175">
        <v>47</v>
      </c>
      <c r="F157" s="222">
        <f t="shared" si="264"/>
        <v>0.376</v>
      </c>
      <c r="G157" s="222"/>
      <c r="H157" s="222">
        <f t="shared" si="235"/>
        <v>4.5120000000000005</v>
      </c>
      <c r="I157" s="556">
        <f t="shared" si="236"/>
        <v>9</v>
      </c>
      <c r="J157" s="452">
        <f t="shared" si="237"/>
        <v>12.25</v>
      </c>
      <c r="K157" s="452">
        <f t="shared" si="238"/>
        <v>21.25</v>
      </c>
      <c r="L157" s="452"/>
      <c r="M157" s="222">
        <f t="shared" si="239"/>
        <v>0.57647058823529407</v>
      </c>
      <c r="N157" s="177">
        <f t="shared" si="240"/>
        <v>10.104088235294114</v>
      </c>
      <c r="O157" s="177">
        <f t="shared" si="231"/>
        <v>4.5120000000000005</v>
      </c>
      <c r="P157" s="222">
        <f t="shared" si="241"/>
        <v>0.84200735294117612</v>
      </c>
      <c r="Q157" s="222">
        <f t="shared" si="242"/>
        <v>12</v>
      </c>
      <c r="R157" s="222"/>
      <c r="S157" s="177">
        <f t="shared" si="243"/>
        <v>37.675019079817609</v>
      </c>
      <c r="T157" s="177">
        <f t="shared" si="244"/>
        <v>12</v>
      </c>
      <c r="U157" s="222">
        <f t="shared" si="245"/>
        <v>1.8308628714643758</v>
      </c>
      <c r="V157" s="222">
        <f t="shared" si="246"/>
        <v>1.4240044555834033</v>
      </c>
      <c r="W157" s="222">
        <f t="shared" si="247"/>
        <v>1.0462073551225004</v>
      </c>
      <c r="X157" s="202">
        <f t="shared" si="248"/>
        <v>350</v>
      </c>
      <c r="Y157" s="452">
        <f t="shared" si="190"/>
        <v>350</v>
      </c>
      <c r="AA157" s="222">
        <f t="shared" si="249"/>
        <v>2.1176470588235294</v>
      </c>
      <c r="AB157" s="178">
        <f t="shared" si="250"/>
        <v>1.2100840336134453</v>
      </c>
      <c r="AC157" s="178">
        <f t="shared" si="251"/>
        <v>0.4484429065743944</v>
      </c>
      <c r="AD157" s="178"/>
      <c r="AE157" s="178">
        <f t="shared" si="252"/>
        <v>0.46857142857142853</v>
      </c>
      <c r="AF157" s="560">
        <f>MAX(12000,F157/(0.5*AE157/1000000*Isw_min*Nps))/1000</f>
        <v>1957.1683521713269</v>
      </c>
      <c r="AG157" s="543">
        <f t="shared" si="253"/>
        <v>6.723999999999998E-2</v>
      </c>
      <c r="AI157" s="178">
        <f t="shared" si="254"/>
        <v>1.9390719429665317</v>
      </c>
      <c r="AJ157" s="178">
        <f t="shared" si="255"/>
        <v>1.9390719429665317</v>
      </c>
      <c r="AK157" s="178">
        <f t="shared" si="256"/>
        <v>2.0289421799752088</v>
      </c>
      <c r="AM157" s="560">
        <f t="shared" si="257"/>
        <v>376</v>
      </c>
      <c r="AN157" s="470">
        <f t="shared" si="258"/>
        <v>350</v>
      </c>
      <c r="AP157">
        <f t="shared" si="259"/>
        <v>376</v>
      </c>
      <c r="AQ157">
        <f t="shared" si="260"/>
        <v>350</v>
      </c>
      <c r="AS157" s="6">
        <f t="shared" si="232"/>
        <v>2.8571428571428572</v>
      </c>
      <c r="AT157" s="6">
        <f t="shared" si="261"/>
        <v>1.5081670667517468</v>
      </c>
      <c r="AU157" s="6">
        <f t="shared" si="204"/>
        <v>1.3489757903911104</v>
      </c>
      <c r="AV157" s="6"/>
      <c r="AW157" s="178">
        <f t="shared" si="205"/>
        <v>0.52785847336311142</v>
      </c>
      <c r="AX157" s="178">
        <f t="shared" si="228"/>
        <v>4.6060000000000008</v>
      </c>
      <c r="AY157" s="178">
        <f t="shared" si="229"/>
        <v>0.45775819370548804</v>
      </c>
      <c r="AZ157" s="178">
        <f t="shared" si="233"/>
        <v>10.062080948710236</v>
      </c>
      <c r="BA157" s="470">
        <f>L*Isw_max^2/(2*Vout_ripple*Vout)*1000000000*((1+M157)/2)^2</f>
        <v>25.385458958093036</v>
      </c>
      <c r="BB157" s="470">
        <f>L*F157^2/(2*Cout*Vout*Nps^2)*1000000000*((1+M157)/(1-M157))^2+F157*RCoutEsr</f>
        <v>13.283399176954733</v>
      </c>
      <c r="BC157" s="6">
        <f t="shared" si="206"/>
        <v>1.0546378628970658</v>
      </c>
      <c r="BD157" s="470">
        <f>((BY157/I157/Efficiency)*AU157/Cin+(BY157/I157/Efficiency)*RCinEsr)*1000</f>
        <v>72.771213640288792</v>
      </c>
      <c r="BF157" s="178">
        <f t="shared" si="234"/>
        <v>0.81337729249619029</v>
      </c>
      <c r="BG157" s="178">
        <f t="shared" si="230"/>
        <v>0.76925334798419986</v>
      </c>
      <c r="BI157" s="543">
        <f t="shared" si="207"/>
        <v>7.2774088194327638E-2</v>
      </c>
      <c r="BJ157" s="543">
        <f t="shared" si="208"/>
        <v>7.2109237879067895E-2</v>
      </c>
      <c r="BK157" s="543">
        <f t="shared" si="209"/>
        <v>1.7499999999999998E-2</v>
      </c>
      <c r="BL157" s="543">
        <f t="shared" si="210"/>
        <v>3.5560546875000001E-2</v>
      </c>
      <c r="BM157">
        <f t="shared" si="211"/>
        <v>2.6099999999999999E-3</v>
      </c>
      <c r="BN157" s="470">
        <f t="shared" si="212"/>
        <v>200.55387294839556</v>
      </c>
      <c r="BO157" s="543">
        <f t="shared" si="213"/>
        <v>0.15040000000000001</v>
      </c>
      <c r="BR157" s="470">
        <f t="shared" si="214"/>
        <v>150.4</v>
      </c>
      <c r="BS157" s="543">
        <f t="shared" si="215"/>
        <v>2.646330479793732E-2</v>
      </c>
      <c r="BT157" s="543">
        <f t="shared" si="216"/>
        <v>2.3670028535396018E-2</v>
      </c>
      <c r="BU157" s="543">
        <f t="shared" si="217"/>
        <v>0</v>
      </c>
      <c r="BV157" s="543">
        <f t="shared" si="218"/>
        <v>4.9350000000000012E-2</v>
      </c>
      <c r="BW157" s="470">
        <f t="shared" si="219"/>
        <v>99.483333333333334</v>
      </c>
      <c r="BX157" s="178">
        <f t="shared" si="220"/>
        <v>0.4504372062817289</v>
      </c>
      <c r="BY157" s="6">
        <f t="shared" si="221"/>
        <v>4.5120000000000005</v>
      </c>
      <c r="BZ157" s="178">
        <f t="shared" si="222"/>
        <v>0.90923064865958603</v>
      </c>
      <c r="CA157" s="6">
        <f t="shared" si="223"/>
        <v>90.923064865958608</v>
      </c>
      <c r="CD157" s="577">
        <f t="shared" si="262"/>
        <v>-50</v>
      </c>
      <c r="CE157">
        <f t="shared" si="263"/>
        <v>-50</v>
      </c>
    </row>
    <row r="158" spans="5:83" x14ac:dyDescent="0.2">
      <c r="E158" s="175">
        <v>48</v>
      </c>
      <c r="F158" s="222">
        <f t="shared" si="264"/>
        <v>0.38400000000000001</v>
      </c>
      <c r="G158" s="222"/>
      <c r="H158" s="222">
        <f t="shared" si="235"/>
        <v>4.6080000000000005</v>
      </c>
      <c r="I158" s="556">
        <f t="shared" si="236"/>
        <v>9</v>
      </c>
      <c r="J158" s="452">
        <f t="shared" si="237"/>
        <v>12.25</v>
      </c>
      <c r="K158" s="452">
        <f t="shared" si="238"/>
        <v>21.25</v>
      </c>
      <c r="L158" s="452"/>
      <c r="M158" s="222">
        <f t="shared" si="239"/>
        <v>0.57647058823529407</v>
      </c>
      <c r="N158" s="177">
        <f t="shared" si="240"/>
        <v>10.104088235294114</v>
      </c>
      <c r="O158" s="177">
        <f t="shared" si="231"/>
        <v>4.6080000000000005</v>
      </c>
      <c r="P158" s="222">
        <f t="shared" si="241"/>
        <v>0.84200735294117612</v>
      </c>
      <c r="Q158" s="222">
        <f t="shared" si="242"/>
        <v>12</v>
      </c>
      <c r="R158" s="222"/>
      <c r="S158" s="177">
        <f t="shared" si="243"/>
        <v>36.7054154255421</v>
      </c>
      <c r="T158" s="177">
        <f t="shared" si="244"/>
        <v>12</v>
      </c>
      <c r="U158" s="222">
        <f t="shared" si="245"/>
        <v>1.869817400644469</v>
      </c>
      <c r="V158" s="222">
        <f t="shared" si="246"/>
        <v>1.454302422723476</v>
      </c>
      <c r="W158" s="222">
        <f t="shared" si="247"/>
        <v>1.0684670860825538</v>
      </c>
      <c r="X158" s="202">
        <f t="shared" si="248"/>
        <v>350</v>
      </c>
      <c r="Y158" s="452">
        <f t="shared" si="190"/>
        <v>350</v>
      </c>
      <c r="AA158" s="222">
        <f t="shared" si="249"/>
        <v>2.1176470588235294</v>
      </c>
      <c r="AB158" s="178">
        <f t="shared" si="250"/>
        <v>1.2100840336134453</v>
      </c>
      <c r="AC158" s="178">
        <f t="shared" si="251"/>
        <v>0.4484429065743944</v>
      </c>
      <c r="AD158" s="178"/>
      <c r="AE158" s="178">
        <f t="shared" si="252"/>
        <v>0.46857142857142853</v>
      </c>
      <c r="AF158" s="560">
        <f>MAX(12000,F158/(0.5*AE158/1000000*Isw_min*Nps))/1000</f>
        <v>1998.8102320047597</v>
      </c>
      <c r="AG158" s="543">
        <f t="shared" si="253"/>
        <v>6.723999999999998E-2</v>
      </c>
      <c r="AI158" s="178">
        <f t="shared" si="254"/>
        <v>1.9595917942265426</v>
      </c>
      <c r="AJ158" s="178">
        <f t="shared" si="255"/>
        <v>1.9595917942265426</v>
      </c>
      <c r="AK158" s="178">
        <f t="shared" si="256"/>
        <v>2.0441420697974388</v>
      </c>
      <c r="AM158" s="560">
        <f t="shared" si="257"/>
        <v>384</v>
      </c>
      <c r="AN158" s="470">
        <f t="shared" si="258"/>
        <v>350</v>
      </c>
      <c r="AP158">
        <f t="shared" si="259"/>
        <v>384</v>
      </c>
      <c r="AQ158">
        <f t="shared" si="260"/>
        <v>350</v>
      </c>
      <c r="AS158" s="6">
        <f t="shared" si="232"/>
        <v>2.8571428571428572</v>
      </c>
      <c r="AT158" s="6">
        <f t="shared" si="261"/>
        <v>1.5241269510650888</v>
      </c>
      <c r="AU158" s="6">
        <f t="shared" si="204"/>
        <v>1.3330159060777684</v>
      </c>
      <c r="AV158" s="6"/>
      <c r="AW158" s="178">
        <f t="shared" si="205"/>
        <v>0.53344443287278109</v>
      </c>
      <c r="AX158" s="178">
        <f t="shared" si="228"/>
        <v>4.7040000000000006</v>
      </c>
      <c r="AY158" s="178">
        <f t="shared" si="229"/>
        <v>0.45712923044660453</v>
      </c>
      <c r="AZ158" s="178">
        <f t="shared" si="233"/>
        <v>10.290306737559318</v>
      </c>
      <c r="BA158" s="470">
        <f>L*Isw_max^2/(2*Vout_ripple*Vout)*1000000000*((1+M158)/2)^2</f>
        <v>25.385458958093036</v>
      </c>
      <c r="BB158" s="470">
        <f>L*F158^2/(2*Cout*Vout*Nps^2)*1000000000*((1+M158)/(1-M158))^2+F158*RCoutEsr</f>
        <v>13.830152876280536</v>
      </c>
      <c r="BC158" s="6">
        <f t="shared" si="206"/>
        <v>1.0643339476207681</v>
      </c>
      <c r="BD158" s="470">
        <f>((BY158/I158/Efficiency)*AU158/Cin+(BY158/I158/Efficiency)*RCinEsr)*1000</f>
        <v>73.459383569664979</v>
      </c>
      <c r="BF158" s="178">
        <f t="shared" si="234"/>
        <v>0.82632250004290697</v>
      </c>
      <c r="BG158" s="178">
        <f t="shared" si="230"/>
        <v>0.77278142182821674</v>
      </c>
      <c r="BI158" s="543">
        <f t="shared" si="207"/>
        <v>7.5108976148487591E-2</v>
      </c>
      <c r="BJ158" s="543">
        <f t="shared" si="208"/>
        <v>7.2872319847799558E-2</v>
      </c>
      <c r="BK158" s="543">
        <f t="shared" si="209"/>
        <v>1.7499999999999998E-2</v>
      </c>
      <c r="BL158" s="543">
        <f t="shared" si="210"/>
        <v>3.5560546875000001E-2</v>
      </c>
      <c r="BM158">
        <f t="shared" si="211"/>
        <v>2.6099999999999999E-3</v>
      </c>
      <c r="BN158" s="470">
        <f t="shared" si="212"/>
        <v>203.65184287128713</v>
      </c>
      <c r="BO158" s="543">
        <f t="shared" si="213"/>
        <v>0.15360000000000001</v>
      </c>
      <c r="BR158" s="470">
        <f t="shared" si="214"/>
        <v>153.60000000000002</v>
      </c>
      <c r="BS158" s="543">
        <f t="shared" si="215"/>
        <v>2.7312354963086399E-2</v>
      </c>
      <c r="BT158" s="543">
        <f t="shared" si="216"/>
        <v>2.3887645036913614E-2</v>
      </c>
      <c r="BU158" s="543">
        <f t="shared" si="217"/>
        <v>0</v>
      </c>
      <c r="BV158" s="543">
        <f t="shared" si="218"/>
        <v>5.0400000000000021E-2</v>
      </c>
      <c r="BW158" s="470">
        <f t="shared" si="219"/>
        <v>101.60000000000002</v>
      </c>
      <c r="BX158" s="178">
        <f t="shared" si="220"/>
        <v>0.45885184287128716</v>
      </c>
      <c r="BY158" s="6">
        <f t="shared" si="221"/>
        <v>4.6080000000000005</v>
      </c>
      <c r="BZ158" s="178">
        <f t="shared" si="222"/>
        <v>0.90944044604010665</v>
      </c>
      <c r="CA158" s="6">
        <f t="shared" si="223"/>
        <v>90.944044604010671</v>
      </c>
      <c r="CD158" s="577">
        <f t="shared" si="262"/>
        <v>-50</v>
      </c>
      <c r="CE158">
        <f t="shared" si="263"/>
        <v>-50</v>
      </c>
    </row>
    <row r="159" spans="5:83" x14ac:dyDescent="0.2">
      <c r="E159" s="175">
        <v>49</v>
      </c>
      <c r="F159" s="222">
        <f t="shared" si="264"/>
        <v>0.39200000000000002</v>
      </c>
      <c r="G159" s="222"/>
      <c r="H159" s="222">
        <f t="shared" si="235"/>
        <v>4.7040000000000006</v>
      </c>
      <c r="I159" s="556">
        <f t="shared" si="236"/>
        <v>9</v>
      </c>
      <c r="J159" s="452">
        <f t="shared" si="237"/>
        <v>12.25</v>
      </c>
      <c r="K159" s="452">
        <f t="shared" si="238"/>
        <v>21.25</v>
      </c>
      <c r="L159" s="452"/>
      <c r="M159" s="222">
        <f t="shared" si="239"/>
        <v>0.57647058823529407</v>
      </c>
      <c r="N159" s="177">
        <f t="shared" si="240"/>
        <v>10.104088235294114</v>
      </c>
      <c r="O159" s="177">
        <f t="shared" si="231"/>
        <v>4.7040000000000006</v>
      </c>
      <c r="P159" s="222">
        <f t="shared" si="241"/>
        <v>0.84200735294117612</v>
      </c>
      <c r="Q159" s="222">
        <f t="shared" si="242"/>
        <v>12</v>
      </c>
      <c r="R159" s="222"/>
      <c r="S159" s="177">
        <f t="shared" si="243"/>
        <v>35.775466023488185</v>
      </c>
      <c r="T159" s="177">
        <f t="shared" si="244"/>
        <v>12</v>
      </c>
      <c r="U159" s="222">
        <f t="shared" si="245"/>
        <v>1.908771929824562</v>
      </c>
      <c r="V159" s="222">
        <f t="shared" si="246"/>
        <v>1.4846003898635483</v>
      </c>
      <c r="W159" s="222">
        <f t="shared" si="247"/>
        <v>1.0907268170426068</v>
      </c>
      <c r="X159" s="202">
        <f t="shared" si="248"/>
        <v>350</v>
      </c>
      <c r="Y159" s="452">
        <f t="shared" si="190"/>
        <v>350</v>
      </c>
      <c r="AA159" s="222">
        <f t="shared" si="249"/>
        <v>2.1176470588235294</v>
      </c>
      <c r="AB159" s="178">
        <f t="shared" si="250"/>
        <v>1.2100840336134453</v>
      </c>
      <c r="AC159" s="178">
        <f t="shared" si="251"/>
        <v>0.4484429065743944</v>
      </c>
      <c r="AD159" s="178"/>
      <c r="AE159" s="178">
        <f t="shared" si="252"/>
        <v>0.46857142857142853</v>
      </c>
      <c r="AF159" s="560">
        <f>MAX(12000,F159/(0.5*AE159/1000000*Isw_min*Nps))/1000</f>
        <v>2040.452111838192</v>
      </c>
      <c r="AG159" s="543">
        <f t="shared" si="253"/>
        <v>6.723999999999998E-2</v>
      </c>
      <c r="AI159" s="178">
        <f t="shared" si="254"/>
        <v>1.9798989873223332</v>
      </c>
      <c r="AJ159" s="178">
        <f t="shared" si="255"/>
        <v>1.9798989873223332</v>
      </c>
      <c r="AK159" s="178">
        <f t="shared" si="256"/>
        <v>2.05918443505358</v>
      </c>
      <c r="AM159" s="560">
        <f t="shared" si="257"/>
        <v>392</v>
      </c>
      <c r="AN159" s="470">
        <f t="shared" si="258"/>
        <v>350</v>
      </c>
      <c r="AP159">
        <f t="shared" si="259"/>
        <v>392</v>
      </c>
      <c r="AQ159">
        <f t="shared" si="260"/>
        <v>350</v>
      </c>
      <c r="AS159" s="6">
        <f t="shared" si="232"/>
        <v>2.8571428571428572</v>
      </c>
      <c r="AT159" s="6">
        <f t="shared" si="261"/>
        <v>1.5399214345840366</v>
      </c>
      <c r="AU159" s="6">
        <f t="shared" si="204"/>
        <v>1.3172214225588206</v>
      </c>
      <c r="AV159" s="6"/>
      <c r="AW159" s="178">
        <f t="shared" si="205"/>
        <v>0.53897250210441283</v>
      </c>
      <c r="AX159" s="178">
        <f t="shared" si="228"/>
        <v>4.8019999999999996</v>
      </c>
      <c r="AY159" s="178">
        <f t="shared" si="229"/>
        <v>0.45639393810561107</v>
      </c>
      <c r="AZ159" s="178">
        <f t="shared" si="233"/>
        <v>10.521612140450474</v>
      </c>
      <c r="BA159" s="470">
        <f>L*Isw_max^2/(2*Vout_ripple*Vout)*1000000000*((1+M159)/2)^2</f>
        <v>25.385458958093036</v>
      </c>
      <c r="BB159" s="470">
        <f>L*F159^2/(2*Cout*Vout*Nps^2)*1000000000*((1+M159)/(1-M159))^2+F159*RCoutEsr</f>
        <v>14.387911916644779</v>
      </c>
      <c r="BC159" s="6">
        <f t="shared" si="206"/>
        <v>1.073633887237027</v>
      </c>
      <c r="BD159" s="470">
        <f>((BY159/I159/Efficiency)*AU159/Cin+(BY159/I159/Efficiency)*RCinEsr)*1000</f>
        <v>74.120813704288821</v>
      </c>
      <c r="BF159" s="178">
        <f t="shared" si="234"/>
        <v>0.83920045445040492</v>
      </c>
      <c r="BG159" s="178">
        <f t="shared" si="230"/>
        <v>0.77615028436308686</v>
      </c>
      <c r="BI159" s="543">
        <f t="shared" si="207"/>
        <v>7.7468314302474278E-2</v>
      </c>
      <c r="BJ159" s="543">
        <f t="shared" si="208"/>
        <v>7.3627493591049253E-2</v>
      </c>
      <c r="BK159" s="543">
        <f t="shared" si="209"/>
        <v>1.7499999999999998E-2</v>
      </c>
      <c r="BL159" s="543">
        <f t="shared" si="210"/>
        <v>3.5560546875000001E-2</v>
      </c>
      <c r="BM159">
        <f t="shared" si="211"/>
        <v>2.6099999999999999E-3</v>
      </c>
      <c r="BN159" s="470">
        <f t="shared" si="212"/>
        <v>206.76635476852351</v>
      </c>
      <c r="BO159" s="543">
        <f t="shared" si="213"/>
        <v>0.15680000000000002</v>
      </c>
      <c r="BR159" s="470">
        <f t="shared" si="214"/>
        <v>156.80000000000001</v>
      </c>
      <c r="BS159" s="543">
        <f t="shared" si="215"/>
        <v>2.8170296109990646E-2</v>
      </c>
      <c r="BT159" s="543">
        <f t="shared" si="216"/>
        <v>2.4096370556676027E-2</v>
      </c>
      <c r="BU159" s="543">
        <f t="shared" si="217"/>
        <v>0</v>
      </c>
      <c r="BV159" s="543">
        <f t="shared" si="218"/>
        <v>5.145000000000001E-2</v>
      </c>
      <c r="BW159" s="470">
        <f t="shared" si="219"/>
        <v>103.71666666666668</v>
      </c>
      <c r="BX159" s="178">
        <f t="shared" si="220"/>
        <v>0.46728302143519018</v>
      </c>
      <c r="BY159" s="6">
        <f t="shared" si="221"/>
        <v>4.7040000000000006</v>
      </c>
      <c r="BZ159" s="178">
        <f t="shared" si="222"/>
        <v>0.90963886147822859</v>
      </c>
      <c r="CA159" s="6">
        <f t="shared" si="223"/>
        <v>90.963886147822862</v>
      </c>
      <c r="CD159" s="577">
        <f t="shared" si="262"/>
        <v>-50</v>
      </c>
      <c r="CE159">
        <f t="shared" si="263"/>
        <v>-50</v>
      </c>
    </row>
    <row r="160" spans="5:83" x14ac:dyDescent="0.2">
      <c r="E160" s="175">
        <v>50</v>
      </c>
      <c r="F160" s="222">
        <f t="shared" si="264"/>
        <v>0.4</v>
      </c>
      <c r="G160" s="222"/>
      <c r="H160" s="222">
        <f t="shared" si="235"/>
        <v>4.8000000000000007</v>
      </c>
      <c r="I160" s="556">
        <f t="shared" si="236"/>
        <v>9</v>
      </c>
      <c r="J160" s="452">
        <f t="shared" si="237"/>
        <v>12.25</v>
      </c>
      <c r="K160" s="452">
        <f t="shared" si="238"/>
        <v>21.25</v>
      </c>
      <c r="L160" s="452"/>
      <c r="M160" s="222">
        <f t="shared" si="239"/>
        <v>0.57647058823529407</v>
      </c>
      <c r="N160" s="177">
        <f t="shared" si="240"/>
        <v>10.104088235294114</v>
      </c>
      <c r="O160" s="177">
        <f t="shared" si="231"/>
        <v>4.8000000000000007</v>
      </c>
      <c r="P160" s="222">
        <f t="shared" si="241"/>
        <v>0.84200735294117612</v>
      </c>
      <c r="Q160" s="222">
        <f t="shared" si="242"/>
        <v>12</v>
      </c>
      <c r="R160" s="222"/>
      <c r="S160" s="177">
        <f t="shared" si="243"/>
        <v>34.882792731166198</v>
      </c>
      <c r="T160" s="177">
        <f t="shared" si="244"/>
        <v>12</v>
      </c>
      <c r="U160" s="222">
        <f t="shared" si="245"/>
        <v>1.9477264590046552</v>
      </c>
      <c r="V160" s="222">
        <f t="shared" si="246"/>
        <v>1.5148983570036207</v>
      </c>
      <c r="W160" s="222">
        <f t="shared" si="247"/>
        <v>1.1129865480026602</v>
      </c>
      <c r="X160" s="202">
        <f t="shared" si="248"/>
        <v>350</v>
      </c>
      <c r="Y160" s="452">
        <f t="shared" si="190"/>
        <v>350</v>
      </c>
      <c r="AA160" s="222">
        <f t="shared" si="249"/>
        <v>2.1176470588235294</v>
      </c>
      <c r="AB160" s="178">
        <f t="shared" si="250"/>
        <v>1.2100840336134453</v>
      </c>
      <c r="AC160" s="178">
        <f t="shared" si="251"/>
        <v>0.4484429065743944</v>
      </c>
      <c r="AD160" s="178"/>
      <c r="AE160" s="178">
        <f t="shared" si="252"/>
        <v>0.46857142857142853</v>
      </c>
      <c r="AF160" s="560">
        <f>MAX(12000,F160/(0.5*AE160/1000000*Isw_min*Nps))/1000</f>
        <v>2082.0939916716247</v>
      </c>
      <c r="AG160" s="543">
        <f t="shared" si="253"/>
        <v>6.723999999999998E-2</v>
      </c>
      <c r="AI160" s="178">
        <f t="shared" si="254"/>
        <v>2</v>
      </c>
      <c r="AJ160" s="178">
        <f t="shared" si="255"/>
        <v>2</v>
      </c>
      <c r="AK160" s="178">
        <f t="shared" si="256"/>
        <v>2.074074074074074</v>
      </c>
      <c r="AM160" s="560">
        <f t="shared" si="257"/>
        <v>400</v>
      </c>
      <c r="AN160" s="470">
        <f t="shared" si="258"/>
        <v>350</v>
      </c>
      <c r="AP160">
        <f t="shared" si="259"/>
        <v>400</v>
      </c>
      <c r="AQ160">
        <f t="shared" si="260"/>
        <v>350</v>
      </c>
      <c r="AS160" s="6">
        <f t="shared" si="232"/>
        <v>2.8571428571428572</v>
      </c>
      <c r="AT160" s="6">
        <f t="shared" si="261"/>
        <v>1.5555555555555556</v>
      </c>
      <c r="AU160" s="6">
        <f t="shared" si="204"/>
        <v>1.3015873015873016</v>
      </c>
      <c r="AV160" s="6"/>
      <c r="AW160" s="178">
        <f t="shared" si="205"/>
        <v>0.5444444444444444</v>
      </c>
      <c r="AX160" s="178">
        <f t="shared" si="228"/>
        <v>4.8999999999999995</v>
      </c>
      <c r="AY160" s="178">
        <f t="shared" si="229"/>
        <v>0.4555555555555556</v>
      </c>
      <c r="AZ160" s="178">
        <f t="shared" si="233"/>
        <v>10.756097560975608</v>
      </c>
      <c r="BA160" s="470">
        <f>L*Isw_max^2/(2*Vout_ripple*Vout)*1000000000*((1+M160)/2)^2</f>
        <v>25.385458958093036</v>
      </c>
      <c r="BB160" s="470">
        <f>L*F160^2/(2*Cout*Vout*Nps^2)*1000000000*((1+M160)/(1-M160))^2+F160*RCoutEsr</f>
        <v>14.956676298047459</v>
      </c>
      <c r="BC160" s="6">
        <f t="shared" si="206"/>
        <v>1.0825417453097765</v>
      </c>
      <c r="BD160" s="470">
        <f>((BY160/I160/Efficiency)*AU160/Cin+(BY160/I160/Efficiency)*RCinEsr)*1000</f>
        <v>74.755778334725719</v>
      </c>
      <c r="BF160" s="178">
        <f t="shared" si="234"/>
        <v>0.85201286723025837</v>
      </c>
      <c r="BG160" s="178">
        <f t="shared" si="230"/>
        <v>0.7793634629666748</v>
      </c>
      <c r="BI160" s="543">
        <f t="shared" si="207"/>
        <v>7.9851851851851841E-2</v>
      </c>
      <c r="BJ160" s="543">
        <f t="shared" si="208"/>
        <v>7.4374999999999997E-2</v>
      </c>
      <c r="BK160" s="543">
        <f t="shared" si="209"/>
        <v>1.7499999999999998E-2</v>
      </c>
      <c r="BL160" s="543">
        <f t="shared" si="210"/>
        <v>3.5560546875000001E-2</v>
      </c>
      <c r="BM160">
        <f t="shared" si="211"/>
        <v>2.6099999999999999E-3</v>
      </c>
      <c r="BN160" s="470">
        <f t="shared" si="212"/>
        <v>209.8973987268518</v>
      </c>
      <c r="BO160" s="543">
        <f t="shared" si="213"/>
        <v>0.16000000000000003</v>
      </c>
      <c r="BR160" s="470">
        <f t="shared" si="214"/>
        <v>160.00000000000003</v>
      </c>
      <c r="BS160" s="543">
        <f t="shared" si="215"/>
        <v>2.9037037037037035E-2</v>
      </c>
      <c r="BT160" s="543">
        <f t="shared" si="216"/>
        <v>2.4296296296296302E-2</v>
      </c>
      <c r="BU160" s="543">
        <f t="shared" si="217"/>
        <v>0</v>
      </c>
      <c r="BV160" s="543">
        <f t="shared" si="218"/>
        <v>5.2500000000000012E-2</v>
      </c>
      <c r="BW160" s="470">
        <f t="shared" si="219"/>
        <v>105.83333333333334</v>
      </c>
      <c r="BX160" s="178">
        <f t="shared" si="220"/>
        <v>0.47573073206018518</v>
      </c>
      <c r="BY160" s="6">
        <f t="shared" si="221"/>
        <v>4.8000000000000007</v>
      </c>
      <c r="BZ160" s="178">
        <f t="shared" si="222"/>
        <v>0.90982657072143425</v>
      </c>
      <c r="CA160" s="6">
        <f t="shared" si="223"/>
        <v>90.982657072143425</v>
      </c>
      <c r="CD160" s="577">
        <f t="shared" si="262"/>
        <v>-50</v>
      </c>
      <c r="CE160">
        <f t="shared" si="263"/>
        <v>-50</v>
      </c>
    </row>
    <row r="161" spans="5:83" x14ac:dyDescent="0.2">
      <c r="E161" s="175">
        <v>51</v>
      </c>
      <c r="F161" s="222">
        <f t="shared" si="264"/>
        <v>0.40800000000000003</v>
      </c>
      <c r="G161" s="222"/>
      <c r="H161" s="222">
        <f t="shared" si="235"/>
        <v>4.8960000000000008</v>
      </c>
      <c r="I161" s="556">
        <f t="shared" si="236"/>
        <v>9</v>
      </c>
      <c r="J161" s="452">
        <f t="shared" si="237"/>
        <v>12.25</v>
      </c>
      <c r="K161" s="452">
        <f t="shared" si="238"/>
        <v>21.25</v>
      </c>
      <c r="L161" s="452"/>
      <c r="M161" s="222">
        <f t="shared" si="239"/>
        <v>0.57647058823529407</v>
      </c>
      <c r="N161" s="177">
        <f t="shared" si="240"/>
        <v>10.104088235294114</v>
      </c>
      <c r="O161" s="177">
        <f t="shared" si="231"/>
        <v>4.8960000000000008</v>
      </c>
      <c r="P161" s="222">
        <f t="shared" si="241"/>
        <v>0.84200735294117612</v>
      </c>
      <c r="Q161" s="222">
        <f t="shared" si="242"/>
        <v>12</v>
      </c>
      <c r="R161" s="222"/>
      <c r="S161" s="177">
        <f t="shared" si="243"/>
        <v>34.025203947143247</v>
      </c>
      <c r="T161" s="177">
        <f t="shared" si="244"/>
        <v>12</v>
      </c>
      <c r="U161" s="222">
        <f t="shared" si="245"/>
        <v>1.9866809881847483</v>
      </c>
      <c r="V161" s="222">
        <f t="shared" si="246"/>
        <v>1.545196324143693</v>
      </c>
      <c r="W161" s="222">
        <f t="shared" si="247"/>
        <v>1.1352462789627134</v>
      </c>
      <c r="X161" s="202">
        <f t="shared" si="248"/>
        <v>350</v>
      </c>
      <c r="Y161" s="452">
        <f t="shared" si="190"/>
        <v>350</v>
      </c>
      <c r="AA161" s="222">
        <f t="shared" si="249"/>
        <v>2.1176470588235294</v>
      </c>
      <c r="AB161" s="178">
        <f t="shared" si="250"/>
        <v>1.2100840336134453</v>
      </c>
      <c r="AC161" s="178">
        <f t="shared" si="251"/>
        <v>0.4484429065743944</v>
      </c>
      <c r="AD161" s="178"/>
      <c r="AE161" s="178">
        <f t="shared" si="252"/>
        <v>0.46857142857142853</v>
      </c>
      <c r="AF161" s="560">
        <f>MAX(12000,F161/(0.5*AE161/1000000*Isw_min*Nps))/1000</f>
        <v>2123.7358715050568</v>
      </c>
      <c r="AG161" s="543">
        <f t="shared" si="253"/>
        <v>6.723999999999998E-2</v>
      </c>
      <c r="AI161" s="178">
        <f t="shared" si="254"/>
        <v>2.0199009876724157</v>
      </c>
      <c r="AJ161" s="178">
        <f t="shared" si="255"/>
        <v>2.0199009876724157</v>
      </c>
      <c r="AK161" s="178">
        <f t="shared" si="256"/>
        <v>2.0888155464240117</v>
      </c>
      <c r="AM161" s="560">
        <f t="shared" si="257"/>
        <v>408.00000000000006</v>
      </c>
      <c r="AN161" s="470">
        <f t="shared" si="258"/>
        <v>350</v>
      </c>
      <c r="AP161">
        <f t="shared" si="259"/>
        <v>408.00000000000006</v>
      </c>
      <c r="AQ161">
        <f t="shared" si="260"/>
        <v>350</v>
      </c>
      <c r="AS161" s="6">
        <f t="shared" si="232"/>
        <v>2.8571428571428572</v>
      </c>
      <c r="AT161" s="6">
        <f t="shared" si="261"/>
        <v>1.5710341015229898</v>
      </c>
      <c r="AU161" s="6">
        <f t="shared" si="204"/>
        <v>1.2861087556198674</v>
      </c>
      <c r="AV161" s="6"/>
      <c r="AW161" s="178">
        <f t="shared" si="205"/>
        <v>0.54986193553304641</v>
      </c>
      <c r="AX161" s="178">
        <f t="shared" si="228"/>
        <v>4.9980000000000002</v>
      </c>
      <c r="AY161" s="178">
        <f t="shared" si="229"/>
        <v>0.45461716050287454</v>
      </c>
      <c r="AZ161" s="178">
        <f t="shared" si="233"/>
        <v>10.993865683537914</v>
      </c>
      <c r="BA161" s="470">
        <f>L*Isw_max^2/(2*Vout_ripple*Vout)*1000000000*((1+M161)/2)^2</f>
        <v>25.385458958093036</v>
      </c>
      <c r="BB161" s="470">
        <f>L*F161^2/(2*Cout*Vout*Nps^2)*1000000000*((1+M161)/(1-M161))^2+F161*RCoutEsr</f>
        <v>15.536446020488572</v>
      </c>
      <c r="BC161" s="6">
        <f t="shared" si="206"/>
        <v>1.0910614628572444</v>
      </c>
      <c r="BD161" s="470">
        <f>((BY161/I161/Efficiency)*AU161/Cin+(BY161/I161/Efficiency)*RCinEsr)*1000</f>
        <v>75.3645434797061</v>
      </c>
      <c r="BF161" s="178">
        <f t="shared" si="234"/>
        <v>0.86476137305325063</v>
      </c>
      <c r="BG161" s="178">
        <f t="shared" si="230"/>
        <v>0.78242428878138548</v>
      </c>
      <c r="BI161" s="543">
        <f t="shared" si="207"/>
        <v>8.2259345555743768E-2</v>
      </c>
      <c r="BJ161" s="543">
        <f t="shared" si="208"/>
        <v>7.5115067979067959E-2</v>
      </c>
      <c r="BK161" s="543">
        <f t="shared" si="209"/>
        <v>1.7499999999999998E-2</v>
      </c>
      <c r="BL161" s="543">
        <f t="shared" si="210"/>
        <v>3.5560546875000001E-2</v>
      </c>
      <c r="BM161">
        <f t="shared" si="211"/>
        <v>2.6099999999999999E-3</v>
      </c>
      <c r="BN161" s="470">
        <f t="shared" si="212"/>
        <v>213.04496040981175</v>
      </c>
      <c r="BO161" s="543">
        <f t="shared" si="213"/>
        <v>0.16320000000000001</v>
      </c>
      <c r="BR161" s="470">
        <f t="shared" si="214"/>
        <v>163.20000000000002</v>
      </c>
      <c r="BS161" s="543">
        <f t="shared" si="215"/>
        <v>2.9912489292997734E-2</v>
      </c>
      <c r="BT161" s="543">
        <f t="shared" si="216"/>
        <v>2.4487510707002277E-2</v>
      </c>
      <c r="BU161" s="543">
        <f t="shared" si="217"/>
        <v>0</v>
      </c>
      <c r="BV161" s="543">
        <f t="shared" si="218"/>
        <v>5.3550000000000014E-2</v>
      </c>
      <c r="BW161" s="470">
        <f t="shared" si="219"/>
        <v>107.95000000000002</v>
      </c>
      <c r="BX161" s="178">
        <f t="shared" si="220"/>
        <v>0.4841949604098118</v>
      </c>
      <c r="BY161" s="6">
        <f t="shared" si="221"/>
        <v>4.8960000000000008</v>
      </c>
      <c r="BZ161" s="178">
        <f t="shared" si="222"/>
        <v>0.91000419799416887</v>
      </c>
      <c r="CA161" s="6">
        <f t="shared" si="223"/>
        <v>91.000419799416889</v>
      </c>
      <c r="CD161" s="577">
        <f t="shared" si="262"/>
        <v>-50</v>
      </c>
      <c r="CE161">
        <f t="shared" si="263"/>
        <v>-50</v>
      </c>
    </row>
    <row r="162" spans="5:83" x14ac:dyDescent="0.2">
      <c r="E162" s="175">
        <v>52</v>
      </c>
      <c r="F162" s="222">
        <f t="shared" si="264"/>
        <v>0.41600000000000004</v>
      </c>
      <c r="G162" s="222"/>
      <c r="H162" s="222">
        <f t="shared" si="235"/>
        <v>4.9920000000000009</v>
      </c>
      <c r="I162" s="556">
        <f t="shared" si="236"/>
        <v>9</v>
      </c>
      <c r="J162" s="452">
        <f t="shared" si="237"/>
        <v>12.25</v>
      </c>
      <c r="K162" s="452">
        <f t="shared" si="238"/>
        <v>21.25</v>
      </c>
      <c r="L162" s="452"/>
      <c r="M162" s="222">
        <f t="shared" si="239"/>
        <v>0.57647058823529407</v>
      </c>
      <c r="N162" s="177">
        <f t="shared" si="240"/>
        <v>10.104088235294114</v>
      </c>
      <c r="O162" s="177">
        <f t="shared" si="231"/>
        <v>4.9920000000000009</v>
      </c>
      <c r="P162" s="222">
        <f t="shared" si="241"/>
        <v>0.84200735294117612</v>
      </c>
      <c r="Q162" s="222">
        <f t="shared" si="242"/>
        <v>12</v>
      </c>
      <c r="R162" s="222"/>
      <c r="S162" s="177">
        <f t="shared" si="243"/>
        <v>33.200676674832216</v>
      </c>
      <c r="T162" s="177">
        <f t="shared" si="244"/>
        <v>12</v>
      </c>
      <c r="U162" s="222">
        <f t="shared" si="245"/>
        <v>2.0256355173648415</v>
      </c>
      <c r="V162" s="222">
        <f t="shared" si="246"/>
        <v>1.5754942912837655</v>
      </c>
      <c r="W162" s="222">
        <f t="shared" si="247"/>
        <v>1.1575060099227663</v>
      </c>
      <c r="X162" s="202">
        <f t="shared" si="248"/>
        <v>350</v>
      </c>
      <c r="Y162" s="452">
        <f t="shared" si="190"/>
        <v>350</v>
      </c>
      <c r="AA162" s="222">
        <f t="shared" si="249"/>
        <v>2.1176470588235294</v>
      </c>
      <c r="AB162" s="178">
        <f t="shared" si="250"/>
        <v>1.2100840336134453</v>
      </c>
      <c r="AC162" s="178">
        <f t="shared" si="251"/>
        <v>0.4484429065743944</v>
      </c>
      <c r="AD162" s="178"/>
      <c r="AE162" s="178">
        <f t="shared" si="252"/>
        <v>0.46857142857142853</v>
      </c>
      <c r="AF162" s="560">
        <f>MAX(12000,F162/(0.5*AE162/1000000*Isw_min*Nps))/1000</f>
        <v>2165.3777513384898</v>
      </c>
      <c r="AG162" s="543">
        <f t="shared" si="253"/>
        <v>6.723999999999998E-2</v>
      </c>
      <c r="AI162" s="178">
        <f t="shared" si="254"/>
        <v>2.0396078054371141</v>
      </c>
      <c r="AJ162" s="178">
        <f t="shared" si="255"/>
        <v>2.0396078054371141</v>
      </c>
      <c r="AK162" s="178">
        <f t="shared" si="256"/>
        <v>2.1034131892126773</v>
      </c>
      <c r="AM162" s="560">
        <f t="shared" si="257"/>
        <v>416.00000000000006</v>
      </c>
      <c r="AN162" s="470">
        <f t="shared" si="258"/>
        <v>350</v>
      </c>
      <c r="AP162">
        <f t="shared" si="259"/>
        <v>416.00000000000006</v>
      </c>
      <c r="AQ162">
        <f t="shared" si="260"/>
        <v>350</v>
      </c>
      <c r="AS162" s="6">
        <f t="shared" si="232"/>
        <v>2.8571428571428572</v>
      </c>
      <c r="AT162" s="6">
        <f t="shared" si="261"/>
        <v>1.5863616264510885</v>
      </c>
      <c r="AU162" s="6">
        <f t="shared" si="204"/>
        <v>1.2707812306917687</v>
      </c>
      <c r="AV162" s="6"/>
      <c r="AW162" s="178">
        <f t="shared" si="205"/>
        <v>0.55522656925788094</v>
      </c>
      <c r="AX162" s="178">
        <f t="shared" si="228"/>
        <v>5.0960000000000001</v>
      </c>
      <c r="AY162" s="178">
        <f t="shared" si="229"/>
        <v>0.45358168049633485</v>
      </c>
      <c r="AZ162" s="178">
        <f t="shared" si="233"/>
        <v>11.235021649074687</v>
      </c>
      <c r="BA162" s="470">
        <f>L*Isw_max^2/(2*Vout_ripple*Vout)*1000000000*((1+M162)/2)^2</f>
        <v>25.385458958093036</v>
      </c>
      <c r="BB162" s="470">
        <f>L*F162^2/(2*Cout*Vout*Nps^2)*1000000000*((1+M162)/(1-M162))^2+F162*RCoutEsr</f>
        <v>16.127221083968131</v>
      </c>
      <c r="BC162" s="6">
        <f t="shared" si="206"/>
        <v>1.0991968643904371</v>
      </c>
      <c r="BD162" s="470">
        <f>((BY162/I162/Efficiency)*AU162/Cin+(BY162/I162/Efficiency)*RCinEsr)*1000</f>
        <v>75.947367293722934</v>
      </c>
      <c r="BF162" s="178">
        <f t="shared" si="234"/>
        <v>0.87744753463531655</v>
      </c>
      <c r="BG162" s="178">
        <f t="shared" si="230"/>
        <v>0.78533590942288634</v>
      </c>
      <c r="BI162" s="543">
        <f t="shared" si="207"/>
        <v>8.4690559364135456E-2</v>
      </c>
      <c r="BJ162" s="543">
        <f t="shared" si="208"/>
        <v>7.5847915264692672E-2</v>
      </c>
      <c r="BK162" s="543">
        <f t="shared" si="209"/>
        <v>1.7499999999999998E-2</v>
      </c>
      <c r="BL162" s="543">
        <f t="shared" si="210"/>
        <v>3.5560546875000001E-2</v>
      </c>
      <c r="BM162">
        <f t="shared" si="211"/>
        <v>2.6099999999999999E-3</v>
      </c>
      <c r="BN162" s="470">
        <f t="shared" si="212"/>
        <v>216.20902150382815</v>
      </c>
      <c r="BO162" s="543">
        <f t="shared" si="213"/>
        <v>0.16640000000000002</v>
      </c>
      <c r="BR162" s="470">
        <f t="shared" si="214"/>
        <v>166.40000000000003</v>
      </c>
      <c r="BS162" s="543">
        <f t="shared" si="215"/>
        <v>3.0796567041503801E-2</v>
      </c>
      <c r="BT162" s="543">
        <f t="shared" si="216"/>
        <v>2.4670099625162877E-2</v>
      </c>
      <c r="BU162" s="543">
        <f t="shared" si="217"/>
        <v>0</v>
      </c>
      <c r="BV162" s="543">
        <f t="shared" si="218"/>
        <v>5.4600000000000003E-2</v>
      </c>
      <c r="BW162" s="470">
        <f t="shared" si="219"/>
        <v>110.06666666666668</v>
      </c>
      <c r="BX162" s="178">
        <f t="shared" si="220"/>
        <v>0.49267568817049479</v>
      </c>
      <c r="BY162" s="6">
        <f t="shared" si="221"/>
        <v>4.9920000000000009</v>
      </c>
      <c r="BZ162" s="178">
        <f t="shared" si="222"/>
        <v>0.91017232081139965</v>
      </c>
      <c r="CA162" s="6">
        <f t="shared" si="223"/>
        <v>91.017232081139966</v>
      </c>
      <c r="CD162" s="577">
        <f t="shared" si="262"/>
        <v>-50</v>
      </c>
      <c r="CE162">
        <f t="shared" si="263"/>
        <v>-50</v>
      </c>
    </row>
    <row r="163" spans="5:83" x14ac:dyDescent="0.2">
      <c r="E163" s="175">
        <v>53</v>
      </c>
      <c r="F163" s="222">
        <f t="shared" si="264"/>
        <v>0.42400000000000004</v>
      </c>
      <c r="G163" s="222"/>
      <c r="H163" s="222">
        <f t="shared" si="235"/>
        <v>5.088000000000001</v>
      </c>
      <c r="I163" s="556">
        <f t="shared" si="236"/>
        <v>9</v>
      </c>
      <c r="J163" s="452">
        <f t="shared" si="237"/>
        <v>12.25</v>
      </c>
      <c r="K163" s="452">
        <f t="shared" si="238"/>
        <v>21.25</v>
      </c>
      <c r="L163" s="452"/>
      <c r="M163" s="222">
        <f t="shared" si="239"/>
        <v>0.57647058823529407</v>
      </c>
      <c r="N163" s="177">
        <f t="shared" si="240"/>
        <v>10.104088235294114</v>
      </c>
      <c r="O163" s="177">
        <f t="shared" si="231"/>
        <v>5.088000000000001</v>
      </c>
      <c r="P163" s="222">
        <f t="shared" si="241"/>
        <v>0.84200735294117612</v>
      </c>
      <c r="Q163" s="222">
        <f t="shared" si="242"/>
        <v>12</v>
      </c>
      <c r="R163" s="222"/>
      <c r="S163" s="177">
        <f t="shared" si="243"/>
        <v>32.407340616805421</v>
      </c>
      <c r="T163" s="177">
        <f t="shared" si="244"/>
        <v>12</v>
      </c>
      <c r="U163" s="222">
        <f t="shared" si="245"/>
        <v>2.0645900465449345</v>
      </c>
      <c r="V163" s="222">
        <f t="shared" si="246"/>
        <v>1.605792258423838</v>
      </c>
      <c r="W163" s="222">
        <f t="shared" si="247"/>
        <v>1.1797657408828195</v>
      </c>
      <c r="X163" s="202">
        <f t="shared" si="248"/>
        <v>350</v>
      </c>
      <c r="Y163" s="452">
        <f t="shared" si="190"/>
        <v>350</v>
      </c>
      <c r="AA163" s="222">
        <f t="shared" si="249"/>
        <v>2.1176470588235294</v>
      </c>
      <c r="AB163" s="178">
        <f t="shared" si="250"/>
        <v>1.2100840336134453</v>
      </c>
      <c r="AC163" s="178">
        <f t="shared" si="251"/>
        <v>0.4484429065743944</v>
      </c>
      <c r="AD163" s="178"/>
      <c r="AE163" s="178">
        <f t="shared" si="252"/>
        <v>0.46857142857142853</v>
      </c>
      <c r="AF163" s="560">
        <f>MAX(12000,F163/(0.5*AE163/1000000*Isw_min*Nps))/1000</f>
        <v>2207.0196311719224</v>
      </c>
      <c r="AG163" s="543">
        <f t="shared" si="253"/>
        <v>6.723999999999998E-2</v>
      </c>
      <c r="AI163" s="178">
        <f t="shared" si="254"/>
        <v>2.0591260281974004</v>
      </c>
      <c r="AJ163" s="178">
        <f t="shared" si="255"/>
        <v>2.0591260281974004</v>
      </c>
      <c r="AK163" s="178">
        <f t="shared" si="256"/>
        <v>2.1178711319980743</v>
      </c>
      <c r="AM163" s="560">
        <f t="shared" si="257"/>
        <v>424.00000000000006</v>
      </c>
      <c r="AN163" s="470">
        <f t="shared" si="258"/>
        <v>350</v>
      </c>
      <c r="AP163">
        <f t="shared" si="259"/>
        <v>424.00000000000006</v>
      </c>
      <c r="AQ163">
        <f t="shared" si="260"/>
        <v>350</v>
      </c>
      <c r="AS163" s="6">
        <f t="shared" si="232"/>
        <v>2.8571428571428572</v>
      </c>
      <c r="AT163" s="6">
        <f t="shared" si="261"/>
        <v>1.6015424663757558</v>
      </c>
      <c r="AU163" s="6">
        <f t="shared" si="204"/>
        <v>1.2556003907671014</v>
      </c>
      <c r="AV163" s="6"/>
      <c r="AW163" s="178">
        <f t="shared" si="205"/>
        <v>0.5605398632315145</v>
      </c>
      <c r="AX163" s="178">
        <f t="shared" si="228"/>
        <v>5.1940000000000017</v>
      </c>
      <c r="AY163" s="178">
        <f t="shared" si="229"/>
        <v>0.45245190298758897</v>
      </c>
      <c r="AZ163" s="178">
        <f t="shared" si="233"/>
        <v>11.479673233118165</v>
      </c>
      <c r="BA163" s="470">
        <f>L*Isw_max^2/(2*Vout_ripple*Vout)*1000000000*((1+M163)/2)^2</f>
        <v>25.385458958093036</v>
      </c>
      <c r="BB163" s="470">
        <f>L*F163^2/(2*Cout*Vout*Nps^2)*1000000000*((1+M163)/(1-M163))^2+F163*RCoutEsr</f>
        <v>16.729001488486126</v>
      </c>
      <c r="BC163" s="6">
        <f t="shared" si="206"/>
        <v>1.1069516635430823</v>
      </c>
      <c r="BD163" s="470">
        <f>((BY163/I163/Efficiency)*AU163/Cin+(BY163/I163/Efficiency)*RCinEsr)*1000</f>
        <v>76.504500447052791</v>
      </c>
      <c r="BF163" s="178">
        <f t="shared" si="234"/>
        <v>0.89007284722499402</v>
      </c>
      <c r="BG163" s="178">
        <f t="shared" si="230"/>
        <v>0.78810130057380723</v>
      </c>
      <c r="BI163" s="543">
        <f t="shared" si="207"/>
        <v>8.7145264070392831E-2</v>
      </c>
      <c r="BJ163" s="543">
        <f t="shared" si="208"/>
        <v>7.6573749173590819E-2</v>
      </c>
      <c r="BK163" s="543">
        <f t="shared" si="209"/>
        <v>1.7499999999999998E-2</v>
      </c>
      <c r="BL163" s="543">
        <f t="shared" si="210"/>
        <v>3.5560546875000001E-2</v>
      </c>
      <c r="BM163">
        <f t="shared" si="211"/>
        <v>2.6099999999999999E-3</v>
      </c>
      <c r="BN163" s="470">
        <f t="shared" si="212"/>
        <v>219.38956011898364</v>
      </c>
      <c r="BO163" s="543">
        <f t="shared" si="213"/>
        <v>0.16960000000000003</v>
      </c>
      <c r="BR163" s="470">
        <f t="shared" si="214"/>
        <v>169.60000000000002</v>
      </c>
      <c r="BS163" s="543">
        <f t="shared" si="215"/>
        <v>3.16891869346883E-2</v>
      </c>
      <c r="BT163" s="543">
        <f t="shared" si="216"/>
        <v>2.4844146398645059E-2</v>
      </c>
      <c r="BU163" s="543">
        <f t="shared" si="217"/>
        <v>0</v>
      </c>
      <c r="BV163" s="543">
        <f t="shared" si="218"/>
        <v>5.5650000000000026E-2</v>
      </c>
      <c r="BW163" s="470">
        <f t="shared" si="219"/>
        <v>112.18333333333338</v>
      </c>
      <c r="BX163" s="178">
        <f t="shared" si="220"/>
        <v>0.50117289345231708</v>
      </c>
      <c r="BY163" s="6">
        <f t="shared" si="221"/>
        <v>5.088000000000001</v>
      </c>
      <c r="BZ163" s="178">
        <f t="shared" si="222"/>
        <v>0.91033147426170369</v>
      </c>
      <c r="CA163" s="6">
        <f t="shared" si="223"/>
        <v>91.033147426170373</v>
      </c>
      <c r="CD163" s="577">
        <f t="shared" si="262"/>
        <v>-50</v>
      </c>
      <c r="CE163">
        <f t="shared" si="263"/>
        <v>-50</v>
      </c>
    </row>
    <row r="164" spans="5:83" x14ac:dyDescent="0.2">
      <c r="E164" s="175">
        <v>54</v>
      </c>
      <c r="F164" s="222">
        <f t="shared" si="264"/>
        <v>0.43200000000000005</v>
      </c>
      <c r="G164" s="222"/>
      <c r="H164" s="222">
        <f t="shared" si="235"/>
        <v>5.1840000000000011</v>
      </c>
      <c r="I164" s="556">
        <f t="shared" si="236"/>
        <v>9</v>
      </c>
      <c r="J164" s="452">
        <f t="shared" si="237"/>
        <v>12.25</v>
      </c>
      <c r="K164" s="452">
        <f t="shared" si="238"/>
        <v>21.25</v>
      </c>
      <c r="L164" s="452"/>
      <c r="M164" s="222">
        <f t="shared" si="239"/>
        <v>0.57647058823529407</v>
      </c>
      <c r="N164" s="177">
        <f t="shared" si="240"/>
        <v>10.104088235294114</v>
      </c>
      <c r="O164" s="177">
        <f t="shared" si="231"/>
        <v>5.1840000000000011</v>
      </c>
      <c r="P164" s="222">
        <f t="shared" si="241"/>
        <v>0.84200735294117612</v>
      </c>
      <c r="Q164" s="222">
        <f t="shared" si="242"/>
        <v>12</v>
      </c>
      <c r="R164" s="222"/>
      <c r="S164" s="177">
        <f t="shared" si="243"/>
        <v>31.643464036417114</v>
      </c>
      <c r="T164" s="177">
        <f t="shared" si="244"/>
        <v>12</v>
      </c>
      <c r="U164" s="222">
        <f t="shared" si="245"/>
        <v>2.1035445757250275</v>
      </c>
      <c r="V164" s="222">
        <f t="shared" si="246"/>
        <v>1.6360902255639103</v>
      </c>
      <c r="W164" s="222">
        <f t="shared" si="247"/>
        <v>1.2020254718428729</v>
      </c>
      <c r="X164" s="202">
        <f t="shared" si="248"/>
        <v>350</v>
      </c>
      <c r="Y164" s="452">
        <f t="shared" si="190"/>
        <v>350</v>
      </c>
      <c r="AA164" s="222">
        <f t="shared" si="249"/>
        <v>2.1176470588235294</v>
      </c>
      <c r="AB164" s="178">
        <f t="shared" si="250"/>
        <v>1.2100840336134453</v>
      </c>
      <c r="AC164" s="178">
        <f t="shared" si="251"/>
        <v>0.4484429065743944</v>
      </c>
      <c r="AD164" s="178"/>
      <c r="AE164" s="178">
        <f t="shared" si="252"/>
        <v>0.46857142857142853</v>
      </c>
      <c r="AF164" s="560">
        <f>MAX(12000,F164/(0.5*AE164/1000000*Isw_min*Nps))/1000</f>
        <v>2248.6615110053544</v>
      </c>
      <c r="AG164" s="543">
        <f t="shared" si="253"/>
        <v>6.723999999999998E-2</v>
      </c>
      <c r="AI164" s="178">
        <f t="shared" si="254"/>
        <v>2.078460969082653</v>
      </c>
      <c r="AJ164" s="178">
        <f t="shared" si="255"/>
        <v>2.078460969082653</v>
      </c>
      <c r="AK164" s="178">
        <f t="shared" si="256"/>
        <v>2.1321933104315951</v>
      </c>
      <c r="AM164" s="560">
        <f t="shared" si="257"/>
        <v>432.00000000000006</v>
      </c>
      <c r="AN164" s="470">
        <f t="shared" si="258"/>
        <v>350</v>
      </c>
      <c r="AP164">
        <f t="shared" si="259"/>
        <v>432.00000000000006</v>
      </c>
      <c r="AQ164">
        <f t="shared" si="260"/>
        <v>350</v>
      </c>
      <c r="AS164" s="6">
        <f t="shared" si="232"/>
        <v>2.8571428571428572</v>
      </c>
      <c r="AT164" s="6">
        <f t="shared" si="261"/>
        <v>1.6165807537309522</v>
      </c>
      <c r="AU164" s="6">
        <f t="shared" si="204"/>
        <v>1.240562103411905</v>
      </c>
      <c r="AV164" s="6"/>
      <c r="AW164" s="178">
        <f t="shared" si="205"/>
        <v>0.56580326380583323</v>
      </c>
      <c r="AX164" s="178">
        <f t="shared" si="228"/>
        <v>5.2920000000000016</v>
      </c>
      <c r="AY164" s="178">
        <f t="shared" si="229"/>
        <v>0.45123048454132642</v>
      </c>
      <c r="AZ164" s="178">
        <f t="shared" si="233"/>
        <v>11.727931027043294</v>
      </c>
      <c r="BA164" s="470">
        <f>L*Isw_max^2/(2*Vout_ripple*Vout)*1000000000*((1+M164)/2)^2</f>
        <v>25.385458958093036</v>
      </c>
      <c r="BB164" s="470">
        <f>L*F164^2/(2*Cout*Vout*Nps^2)*1000000000*((1+M164)/(1-M164))^2+F164*RCoutEsr</f>
        <v>17.341787234042553</v>
      </c>
      <c r="BC164" s="6">
        <f t="shared" si="206"/>
        <v>1.1143294683278868</v>
      </c>
      <c r="BD164" s="470">
        <f>((BY164/I164/Efficiency)*AU164/Cin+(BY164/I164/Efficiency)*RCinEsr)*1000</f>
        <v>77.036186480553425</v>
      </c>
      <c r="BF164" s="178">
        <f t="shared" si="234"/>
        <v>0.90263874273177536</v>
      </c>
      <c r="BG164" s="178">
        <f t="shared" si="230"/>
        <v>0.79072327657632568</v>
      </c>
      <c r="BI164" s="543">
        <f t="shared" si="207"/>
        <v>8.9623236986844018E-2</v>
      </c>
      <c r="BJ164" s="543">
        <f t="shared" si="208"/>
        <v>7.729276728776116E-2</v>
      </c>
      <c r="BK164" s="543">
        <f t="shared" si="209"/>
        <v>1.7499999999999998E-2</v>
      </c>
      <c r="BL164" s="543">
        <f t="shared" si="210"/>
        <v>3.5560546875000001E-2</v>
      </c>
      <c r="BM164">
        <f t="shared" si="211"/>
        <v>2.6099999999999999E-3</v>
      </c>
      <c r="BN164" s="470">
        <f t="shared" si="212"/>
        <v>222.58655114960519</v>
      </c>
      <c r="BO164" s="543">
        <f t="shared" si="213"/>
        <v>0.17280000000000004</v>
      </c>
      <c r="BR164" s="470">
        <f t="shared" si="214"/>
        <v>172.80000000000004</v>
      </c>
      <c r="BS164" s="543">
        <f t="shared" si="215"/>
        <v>3.2590267995216006E-2</v>
      </c>
      <c r="BT164" s="543">
        <f t="shared" si="216"/>
        <v>2.500973200478402E-2</v>
      </c>
      <c r="BU164" s="543">
        <f t="shared" si="217"/>
        <v>0</v>
      </c>
      <c r="BV164" s="543">
        <f t="shared" si="218"/>
        <v>5.6700000000000021E-2</v>
      </c>
      <c r="BW164" s="470">
        <f t="shared" si="219"/>
        <v>114.30000000000004</v>
      </c>
      <c r="BX164" s="178">
        <f t="shared" si="220"/>
        <v>0.50968655114960526</v>
      </c>
      <c r="BY164" s="6">
        <f t="shared" si="221"/>
        <v>5.1840000000000011</v>
      </c>
      <c r="BZ164" s="178">
        <f t="shared" si="222"/>
        <v>0.91048215482696437</v>
      </c>
      <c r="CA164" s="6">
        <f t="shared" si="223"/>
        <v>91.048215482696435</v>
      </c>
      <c r="CD164" s="577">
        <f t="shared" si="262"/>
        <v>-50</v>
      </c>
      <c r="CE164">
        <f t="shared" si="263"/>
        <v>-50</v>
      </c>
    </row>
    <row r="165" spans="5:83" x14ac:dyDescent="0.2">
      <c r="E165" s="175">
        <v>55</v>
      </c>
      <c r="F165" s="222">
        <f t="shared" si="264"/>
        <v>0.44000000000000006</v>
      </c>
      <c r="G165" s="222"/>
      <c r="H165" s="222">
        <f t="shared" si="235"/>
        <v>5.2800000000000011</v>
      </c>
      <c r="I165" s="556">
        <f t="shared" si="236"/>
        <v>9</v>
      </c>
      <c r="J165" s="452">
        <f t="shared" si="237"/>
        <v>12.25</v>
      </c>
      <c r="K165" s="452">
        <f t="shared" si="238"/>
        <v>21.25</v>
      </c>
      <c r="L165" s="452"/>
      <c r="M165" s="222">
        <f t="shared" si="239"/>
        <v>0.57647058823529407</v>
      </c>
      <c r="N165" s="177">
        <f t="shared" si="240"/>
        <v>10.104088235294114</v>
      </c>
      <c r="O165" s="177">
        <f t="shared" si="231"/>
        <v>5.2800000000000011</v>
      </c>
      <c r="P165" s="222">
        <f t="shared" si="241"/>
        <v>0.84200735294117612</v>
      </c>
      <c r="Q165" s="222">
        <f t="shared" si="242"/>
        <v>12</v>
      </c>
      <c r="R165" s="222"/>
      <c r="S165" s="177">
        <f t="shared" si="243"/>
        <v>30.907441161804847</v>
      </c>
      <c r="T165" s="177">
        <f t="shared" si="244"/>
        <v>12</v>
      </c>
      <c r="U165" s="222">
        <f t="shared" si="245"/>
        <v>2.142499104905121</v>
      </c>
      <c r="V165" s="222">
        <f t="shared" si="246"/>
        <v>1.6663881927039828</v>
      </c>
      <c r="W165" s="222">
        <f t="shared" si="247"/>
        <v>1.2242852028029263</v>
      </c>
      <c r="X165" s="202">
        <f t="shared" si="248"/>
        <v>350</v>
      </c>
      <c r="Y165" s="452">
        <f t="shared" si="190"/>
        <v>345.94015413652079</v>
      </c>
      <c r="AA165" s="222">
        <f t="shared" si="249"/>
        <v>2.1176470588235294</v>
      </c>
      <c r="AB165" s="178">
        <f t="shared" si="250"/>
        <v>1.2100840336134453</v>
      </c>
      <c r="AC165" s="178">
        <f t="shared" si="251"/>
        <v>0.4484429065743944</v>
      </c>
      <c r="AD165" s="178"/>
      <c r="AE165" s="178">
        <f t="shared" si="252"/>
        <v>0.46857142857142853</v>
      </c>
      <c r="AF165" s="560">
        <f>MAX(12000,F165/(0.5*AE165/1000000*Isw_min*Nps))/1000</f>
        <v>2290.303390838787</v>
      </c>
      <c r="AG165" s="543">
        <f t="shared" si="253"/>
        <v>6.723999999999998E-2</v>
      </c>
      <c r="AI165" s="178">
        <f t="shared" si="254"/>
        <v>2.0976176963403033</v>
      </c>
      <c r="AJ165" s="178">
        <f t="shared" si="255"/>
        <v>2.0976176963403033</v>
      </c>
      <c r="AK165" s="178">
        <f t="shared" si="256"/>
        <v>2.1463834787705949</v>
      </c>
      <c r="AM165" s="560">
        <f t="shared" si="257"/>
        <v>440.00000000000006</v>
      </c>
      <c r="AN165" s="470">
        <f t="shared" si="258"/>
        <v>345.94015413652079</v>
      </c>
      <c r="AP165">
        <f t="shared" si="259"/>
        <v>440.00000000000006</v>
      </c>
      <c r="AQ165">
        <f t="shared" si="260"/>
        <v>345.94015413652079</v>
      </c>
      <c r="AS165" s="6">
        <f t="shared" si="232"/>
        <v>2.8906733955069086</v>
      </c>
      <c r="AT165" s="6">
        <f t="shared" si="261"/>
        <v>1.6314804304869026</v>
      </c>
      <c r="AU165" s="6">
        <f t="shared" si="204"/>
        <v>1.259192965020006</v>
      </c>
      <c r="AV165" s="6"/>
      <c r="AW165" s="178">
        <f t="shared" si="205"/>
        <v>0.56439459159335648</v>
      </c>
      <c r="AX165" s="178">
        <f t="shared" si="228"/>
        <v>5.3274783737024203</v>
      </c>
      <c r="AY165" s="178">
        <f t="shared" si="229"/>
        <v>0.45686680664766027</v>
      </c>
      <c r="AZ165" s="178">
        <f t="shared" si="233"/>
        <v>11.660900499193016</v>
      </c>
      <c r="BA165" s="470">
        <f>L*Isw_max^2/(2*Vout_ripple*Vout)*1000000000*((1+M165)/2)^2</f>
        <v>25.385458958093036</v>
      </c>
      <c r="BB165" s="470">
        <f>L*F165^2/(2*Cout*Vout*Nps^2)*1000000000*((1+M165)/(1-M165))^2+F165*RCoutEsr</f>
        <v>17.965578320637427</v>
      </c>
      <c r="BC165" s="6">
        <f t="shared" si="206"/>
        <v>1.1520101980170037</v>
      </c>
      <c r="BD165" s="470">
        <f>((BY165/I165/Efficiency)*AU165/Cin+(BY165/I165/Efficiency)*RCinEsr)*1000</f>
        <v>79.613319945095128</v>
      </c>
      <c r="BF165" s="178">
        <f t="shared" si="234"/>
        <v>0.90982346328115937</v>
      </c>
      <c r="BG165" s="178">
        <f t="shared" si="230"/>
        <v>0.7993046555161204</v>
      </c>
      <c r="BI165" s="543">
        <f t="shared" si="207"/>
        <v>9.1055660777061551E-2</v>
      </c>
      <c r="BJ165" s="543">
        <f t="shared" si="208"/>
        <v>7.7100332601592436E-2</v>
      </c>
      <c r="BK165" s="543">
        <f t="shared" si="209"/>
        <v>1.7297007706826038E-2</v>
      </c>
      <c r="BL165" s="543">
        <f t="shared" si="210"/>
        <v>3.5148060191761345E-2</v>
      </c>
      <c r="BM165">
        <f t="shared" si="211"/>
        <v>2.6099999999999999E-3</v>
      </c>
      <c r="BN165" s="470">
        <f t="shared" si="212"/>
        <v>223.21106127724138</v>
      </c>
      <c r="BO165" s="543">
        <f t="shared" si="213"/>
        <v>0.17600000000000005</v>
      </c>
      <c r="BR165" s="470">
        <f t="shared" si="214"/>
        <v>176.00000000000006</v>
      </c>
      <c r="BS165" s="543">
        <f t="shared" si="215"/>
        <v>3.3111149373476929E-2</v>
      </c>
      <c r="BT165" s="543">
        <f t="shared" si="216"/>
        <v>2.5555517293189757E-2</v>
      </c>
      <c r="BU165" s="543">
        <f t="shared" si="217"/>
        <v>0</v>
      </c>
      <c r="BV165" s="543">
        <f t="shared" si="218"/>
        <v>5.7080125432525941E-2</v>
      </c>
      <c r="BW165" s="470">
        <f t="shared" si="219"/>
        <v>115.74679209919263</v>
      </c>
      <c r="BX165" s="178">
        <f t="shared" si="220"/>
        <v>0.51495785337643407</v>
      </c>
      <c r="BY165" s="6">
        <f t="shared" si="221"/>
        <v>5.2800000000000011</v>
      </c>
      <c r="BZ165" s="178">
        <f t="shared" si="222"/>
        <v>0.91113691136228125</v>
      </c>
      <c r="CA165" s="6">
        <f t="shared" si="223"/>
        <v>91.113691136228127</v>
      </c>
      <c r="CD165" s="577">
        <f t="shared" si="262"/>
        <v>-50</v>
      </c>
      <c r="CE165">
        <f t="shared" si="263"/>
        <v>-50</v>
      </c>
    </row>
    <row r="166" spans="5:83" x14ac:dyDescent="0.2">
      <c r="E166" s="175">
        <v>56</v>
      </c>
      <c r="F166" s="222">
        <f t="shared" si="264"/>
        <v>0.44800000000000006</v>
      </c>
      <c r="G166" s="222"/>
      <c r="H166" s="222">
        <f t="shared" si="235"/>
        <v>5.3760000000000012</v>
      </c>
      <c r="I166" s="556">
        <f t="shared" si="236"/>
        <v>9</v>
      </c>
      <c r="J166" s="452">
        <f t="shared" si="237"/>
        <v>12.25</v>
      </c>
      <c r="K166" s="452">
        <f t="shared" si="238"/>
        <v>21.25</v>
      </c>
      <c r="L166" s="452"/>
      <c r="M166" s="222">
        <f t="shared" si="239"/>
        <v>0.57647058823529407</v>
      </c>
      <c r="N166" s="177">
        <f t="shared" si="240"/>
        <v>10.104088235294114</v>
      </c>
      <c r="O166" s="177">
        <f t="shared" si="231"/>
        <v>5.3760000000000012</v>
      </c>
      <c r="P166" s="222">
        <f t="shared" si="241"/>
        <v>0.84200735294117612</v>
      </c>
      <c r="Q166" s="222">
        <f t="shared" si="242"/>
        <v>12</v>
      </c>
      <c r="R166" s="222"/>
      <c r="S166" s="177">
        <f t="shared" si="243"/>
        <v>30.197780939472569</v>
      </c>
      <c r="T166" s="177">
        <f t="shared" si="244"/>
        <v>12</v>
      </c>
      <c r="U166" s="222">
        <f t="shared" si="245"/>
        <v>2.181453634085214</v>
      </c>
      <c r="V166" s="222">
        <f t="shared" si="246"/>
        <v>1.6966861598440555</v>
      </c>
      <c r="W166" s="222">
        <f t="shared" si="247"/>
        <v>1.2465449337629795</v>
      </c>
      <c r="X166" s="202">
        <f t="shared" si="248"/>
        <v>350</v>
      </c>
      <c r="Y166" s="452">
        <f t="shared" si="190"/>
        <v>339.76265138408286</v>
      </c>
      <c r="AA166" s="222">
        <f t="shared" si="249"/>
        <v>2.1176470588235294</v>
      </c>
      <c r="AB166" s="178">
        <f t="shared" si="250"/>
        <v>1.2100840336134453</v>
      </c>
      <c r="AC166" s="178">
        <f t="shared" si="251"/>
        <v>0.4484429065743944</v>
      </c>
      <c r="AD166" s="178"/>
      <c r="AE166" s="178">
        <f t="shared" si="252"/>
        <v>0.46857142857142853</v>
      </c>
      <c r="AF166" s="560">
        <f>MAX(12000,F166/(0.5*AE166/1000000*Isw_min*Nps))/1000</f>
        <v>2331.94527067222</v>
      </c>
      <c r="AG166" s="543">
        <f t="shared" si="253"/>
        <v>6.723999999999998E-2</v>
      </c>
      <c r="AI166" s="178">
        <f t="shared" si="254"/>
        <v>2.1166010488516727</v>
      </c>
      <c r="AJ166" s="178">
        <f t="shared" si="255"/>
        <v>2.1166010488516727</v>
      </c>
      <c r="AK166" s="178">
        <f t="shared" si="256"/>
        <v>2.1604452213716092</v>
      </c>
      <c r="AM166" s="560">
        <f t="shared" si="257"/>
        <v>448.00000000000006</v>
      </c>
      <c r="AN166" s="470">
        <f t="shared" si="258"/>
        <v>339.76265138408286</v>
      </c>
      <c r="AP166">
        <f t="shared" si="259"/>
        <v>448.00000000000006</v>
      </c>
      <c r="AQ166">
        <f t="shared" si="260"/>
        <v>339.76265138408286</v>
      </c>
      <c r="AS166" s="6">
        <f t="shared" si="232"/>
        <v>2.9432310936070349</v>
      </c>
      <c r="AT166" s="6">
        <f t="shared" si="261"/>
        <v>1.6462452602179678</v>
      </c>
      <c r="AU166" s="6">
        <f t="shared" si="204"/>
        <v>1.2969858333890671</v>
      </c>
      <c r="AV166" s="6"/>
      <c r="AW166" s="178">
        <f t="shared" si="205"/>
        <v>0.55933265444013613</v>
      </c>
      <c r="AX166" s="178">
        <f t="shared" si="228"/>
        <v>5.3274783737024194</v>
      </c>
      <c r="AY166" s="178">
        <f t="shared" si="229"/>
        <v>0.4663584829033452</v>
      </c>
      <c r="AZ166" s="178">
        <f t="shared" si="233"/>
        <v>11.423569140494356</v>
      </c>
      <c r="BA166" s="470">
        <f>L*Isw_max^2/(2*Vout_ripple*Vout)*1000000000*((1+M166)/2)^2</f>
        <v>25.385458958093036</v>
      </c>
      <c r="BB166" s="470">
        <f>L*F166^2/(2*Cout*Vout*Nps^2)*1000000000*((1+M166)/(1-M166))^2+F166*RCoutEsr</f>
        <v>18.600374748270735</v>
      </c>
      <c r="BC166" s="6">
        <f t="shared" si="206"/>
        <v>1.2081604228372753</v>
      </c>
      <c r="BD166" s="470">
        <f>((BY166/I166/Efficiency)*AU166/Cin+(BY166/I166/Efficiency)*RCinEsr)*1000</f>
        <v>83.437144330989796</v>
      </c>
      <c r="BF166" s="178">
        <f t="shared" si="234"/>
        <v>0.91393112284092293</v>
      </c>
      <c r="BG166" s="178">
        <f t="shared" si="230"/>
        <v>0.81121096888298017</v>
      </c>
      <c r="BI166" s="543">
        <f t="shared" si="207"/>
        <v>9.1879710702699721E-2</v>
      </c>
      <c r="BJ166" s="543">
        <f t="shared" si="208"/>
        <v>7.6408835829768595E-2</v>
      </c>
      <c r="BK166" s="543">
        <f t="shared" si="209"/>
        <v>1.6988132569204142E-2</v>
      </c>
      <c r="BL166" s="543">
        <f t="shared" si="210"/>
        <v>3.4520416259765603E-2</v>
      </c>
      <c r="BM166">
        <f t="shared" si="211"/>
        <v>2.6099999999999999E-3</v>
      </c>
      <c r="BN166" s="470">
        <f t="shared" si="212"/>
        <v>222.40709536143808</v>
      </c>
      <c r="BO166" s="543">
        <f t="shared" si="213"/>
        <v>0.17920000000000003</v>
      </c>
      <c r="BR166" s="470">
        <f t="shared" si="214"/>
        <v>179.20000000000002</v>
      </c>
      <c r="BS166" s="543">
        <f t="shared" si="215"/>
        <v>3.3410803891890807E-2</v>
      </c>
      <c r="BT166" s="543">
        <f t="shared" si="216"/>
        <v>2.6322529441442536E-2</v>
      </c>
      <c r="BU166" s="543">
        <f t="shared" si="217"/>
        <v>0</v>
      </c>
      <c r="BV166" s="543">
        <f t="shared" si="218"/>
        <v>5.7080125432525934E-2</v>
      </c>
      <c r="BW166" s="470">
        <f t="shared" si="219"/>
        <v>116.81345876585928</v>
      </c>
      <c r="BX166" s="178">
        <f t="shared" si="220"/>
        <v>0.51842055412729737</v>
      </c>
      <c r="BY166" s="6">
        <f t="shared" si="221"/>
        <v>5.3760000000000012</v>
      </c>
      <c r="BZ166" s="178">
        <f t="shared" si="222"/>
        <v>0.91204893689434874</v>
      </c>
      <c r="CA166" s="6">
        <f t="shared" si="223"/>
        <v>91.204893689434869</v>
      </c>
      <c r="CD166" s="577">
        <f t="shared" si="262"/>
        <v>-50</v>
      </c>
      <c r="CE166">
        <f t="shared" si="263"/>
        <v>-50</v>
      </c>
    </row>
    <row r="167" spans="5:83" x14ac:dyDescent="0.2">
      <c r="E167" s="175">
        <v>57</v>
      </c>
      <c r="F167" s="222">
        <f t="shared" si="264"/>
        <v>0.45599999999999996</v>
      </c>
      <c r="G167" s="222"/>
      <c r="H167" s="222">
        <f t="shared" si="235"/>
        <v>5.4719999999999995</v>
      </c>
      <c r="I167" s="556">
        <f t="shared" si="236"/>
        <v>9</v>
      </c>
      <c r="J167" s="452">
        <f t="shared" si="237"/>
        <v>12.25</v>
      </c>
      <c r="K167" s="452">
        <f t="shared" si="238"/>
        <v>21.25</v>
      </c>
      <c r="L167" s="452"/>
      <c r="M167" s="222">
        <f t="shared" si="239"/>
        <v>0.57647058823529407</v>
      </c>
      <c r="N167" s="177">
        <f t="shared" si="240"/>
        <v>10.104088235294114</v>
      </c>
      <c r="O167" s="177">
        <f t="shared" si="231"/>
        <v>5.4719999999999995</v>
      </c>
      <c r="P167" s="222">
        <f t="shared" si="241"/>
        <v>0.84200735294117612</v>
      </c>
      <c r="Q167" s="222">
        <f t="shared" si="242"/>
        <v>12</v>
      </c>
      <c r="R167" s="222"/>
      <c r="S167" s="177">
        <f t="shared" si="243"/>
        <v>29.51309697171763</v>
      </c>
      <c r="T167" s="177">
        <f t="shared" si="244"/>
        <v>12</v>
      </c>
      <c r="U167" s="222">
        <f t="shared" si="245"/>
        <v>2.2204081632653065</v>
      </c>
      <c r="V167" s="222">
        <f t="shared" si="246"/>
        <v>1.7269841269841275</v>
      </c>
      <c r="W167" s="222">
        <f t="shared" si="247"/>
        <v>1.2688046647230324</v>
      </c>
      <c r="X167" s="202">
        <f t="shared" si="248"/>
        <v>350</v>
      </c>
      <c r="Y167" s="452">
        <f t="shared" si="190"/>
        <v>333.8019031141867</v>
      </c>
      <c r="AA167" s="222">
        <f t="shared" si="249"/>
        <v>2.1176470588235294</v>
      </c>
      <c r="AB167" s="178">
        <f t="shared" si="250"/>
        <v>1.2100840336134453</v>
      </c>
      <c r="AC167" s="178">
        <f t="shared" si="251"/>
        <v>0.4484429065743944</v>
      </c>
      <c r="AD167" s="178"/>
      <c r="AE167" s="178">
        <f t="shared" si="252"/>
        <v>0.46857142857142853</v>
      </c>
      <c r="AF167" s="560">
        <f>MAX(12000,F167/(0.5*AE167/1000000*Isw_min*Nps))/1000</f>
        <v>2373.5871505056516</v>
      </c>
      <c r="AG167" s="543">
        <f t="shared" si="253"/>
        <v>6.723999999999998E-2</v>
      </c>
      <c r="AI167" s="178">
        <f t="shared" si="254"/>
        <v>2.1354156504062622</v>
      </c>
      <c r="AJ167" s="178">
        <f t="shared" si="255"/>
        <v>2.2204081632653065</v>
      </c>
      <c r="AK167" s="178">
        <f t="shared" si="256"/>
        <v>2.2373393801965236</v>
      </c>
      <c r="AM167" s="560">
        <f t="shared" si="257"/>
        <v>455.99999999999994</v>
      </c>
      <c r="AN167" s="470">
        <f t="shared" si="258"/>
        <v>333.8019031141867</v>
      </c>
      <c r="AP167">
        <f t="shared" si="259"/>
        <v>455.99999999999994</v>
      </c>
      <c r="AQ167">
        <f t="shared" si="260"/>
        <v>333.8019031141867</v>
      </c>
      <c r="AS167" s="6">
        <f t="shared" si="232"/>
        <v>2.9957887917071604</v>
      </c>
      <c r="AT167" s="6">
        <f t="shared" si="261"/>
        <v>1.7269841269841275</v>
      </c>
      <c r="AU167" s="6">
        <f t="shared" si="204"/>
        <v>1.2688046647230329</v>
      </c>
      <c r="AV167" s="6"/>
      <c r="AW167" s="178">
        <f t="shared" si="205"/>
        <v>0.57647058823529407</v>
      </c>
      <c r="AX167" s="178">
        <f t="shared" si="228"/>
        <v>5.7600000000000007</v>
      </c>
      <c r="AY167" s="178">
        <f t="shared" si="229"/>
        <v>0.4702040816326532</v>
      </c>
      <c r="AZ167" s="178">
        <f t="shared" si="233"/>
        <v>12.249999999999998</v>
      </c>
      <c r="BA167" s="470">
        <f>L*Isw_max^2/(2*Vout_ripple*Vout)*1000000000*((1+M167)/2)^2</f>
        <v>25.385458958093036</v>
      </c>
      <c r="BB167" s="470">
        <f>L*F167^2/(2*Cout*Vout*Nps^2)*1000000000*((1+M167)/(1-M167))^2+F167*RCoutEsr</f>
        <v>19.246176516942466</v>
      </c>
      <c r="BC167" s="6">
        <f t="shared" si="206"/>
        <v>1.2030147932188757</v>
      </c>
      <c r="BD167" s="470">
        <f>((BY167/I167/Efficiency)*AU167/Cin+(BY167/I167/Efficiency)*RCinEsr)*1000</f>
        <v>83.12349854227412</v>
      </c>
      <c r="BF167" s="178">
        <f t="shared" si="234"/>
        <v>0.97333146957234673</v>
      </c>
      <c r="BG167" s="178">
        <f t="shared" si="230"/>
        <v>0.83428411677629732</v>
      </c>
      <c r="BI167" s="543">
        <f t="shared" si="207"/>
        <v>0.10421115646258505</v>
      </c>
      <c r="BJ167" s="543">
        <f t="shared" si="208"/>
        <v>7.8749999999999987E-2</v>
      </c>
      <c r="BK167" s="543">
        <f t="shared" si="209"/>
        <v>1.6690095155709336E-2</v>
      </c>
      <c r="BL167" s="543">
        <f t="shared" si="210"/>
        <v>3.3914794921874984E-2</v>
      </c>
      <c r="BM167">
        <f t="shared" si="211"/>
        <v>2.6099999999999999E-3</v>
      </c>
      <c r="BN167" s="470">
        <f t="shared" si="212"/>
        <v>236.17604654016938</v>
      </c>
      <c r="BO167" s="543">
        <f t="shared" si="213"/>
        <v>0.18240000000000001</v>
      </c>
      <c r="BR167" s="470">
        <f t="shared" si="214"/>
        <v>182.4</v>
      </c>
      <c r="BS167" s="543">
        <f t="shared" si="215"/>
        <v>3.7894965986394566E-2</v>
      </c>
      <c r="BT167" s="543">
        <f t="shared" si="216"/>
        <v>2.7841199500208261E-2</v>
      </c>
      <c r="BU167" s="543">
        <f t="shared" si="217"/>
        <v>0</v>
      </c>
      <c r="BV167" s="543">
        <f t="shared" si="218"/>
        <v>6.1714285714285715E-2</v>
      </c>
      <c r="BW167" s="470">
        <f t="shared" si="219"/>
        <v>127.45045120088855</v>
      </c>
      <c r="BX167" s="178">
        <f t="shared" si="220"/>
        <v>0.54602649774105794</v>
      </c>
      <c r="BY167" s="6">
        <f t="shared" si="221"/>
        <v>5.4719999999999995</v>
      </c>
      <c r="BZ167" s="178">
        <f t="shared" si="222"/>
        <v>0.9092681798682648</v>
      </c>
      <c r="CA167" s="6">
        <f t="shared" si="223"/>
        <v>90.926817986826478</v>
      </c>
      <c r="CD167" s="577">
        <f t="shared" si="262"/>
        <v>-50</v>
      </c>
      <c r="CE167">
        <f t="shared" si="263"/>
        <v>-50</v>
      </c>
    </row>
    <row r="168" spans="5:83" x14ac:dyDescent="0.2">
      <c r="E168" s="175">
        <v>58</v>
      </c>
      <c r="F168" s="222">
        <f t="shared" si="264"/>
        <v>0.46399999999999997</v>
      </c>
      <c r="G168" s="222"/>
      <c r="H168" s="222">
        <f t="shared" si="235"/>
        <v>5.5679999999999996</v>
      </c>
      <c r="I168" s="556">
        <f t="shared" si="236"/>
        <v>9</v>
      </c>
      <c r="J168" s="452">
        <f t="shared" si="237"/>
        <v>12.25</v>
      </c>
      <c r="K168" s="452">
        <f t="shared" si="238"/>
        <v>21.25</v>
      </c>
      <c r="L168" s="452"/>
      <c r="M168" s="222">
        <f t="shared" si="239"/>
        <v>0.57647058823529407</v>
      </c>
      <c r="N168" s="177">
        <f t="shared" si="240"/>
        <v>10.104088235294114</v>
      </c>
      <c r="O168" s="177">
        <f t="shared" si="231"/>
        <v>5.5679999999999996</v>
      </c>
      <c r="P168" s="222">
        <f t="shared" si="241"/>
        <v>0.84200735294117612</v>
      </c>
      <c r="Q168" s="222">
        <f t="shared" si="242"/>
        <v>12</v>
      </c>
      <c r="R168" s="222"/>
      <c r="S168" s="177">
        <f t="shared" si="243"/>
        <v>28.852098495024258</v>
      </c>
      <c r="T168" s="177">
        <f t="shared" si="244"/>
        <v>12</v>
      </c>
      <c r="U168" s="222">
        <f t="shared" si="245"/>
        <v>2.2593626924453996</v>
      </c>
      <c r="V168" s="222">
        <f t="shared" si="246"/>
        <v>1.7572820941241998</v>
      </c>
      <c r="W168" s="222">
        <f t="shared" si="247"/>
        <v>1.2910643956830856</v>
      </c>
      <c r="X168" s="202">
        <f t="shared" si="248"/>
        <v>350</v>
      </c>
      <c r="Y168" s="452">
        <f t="shared" si="190"/>
        <v>328.04669788808013</v>
      </c>
      <c r="AA168" s="222">
        <f t="shared" si="249"/>
        <v>2.1176470588235294</v>
      </c>
      <c r="AB168" s="178">
        <f t="shared" si="250"/>
        <v>1.2100840336134453</v>
      </c>
      <c r="AC168" s="178">
        <f t="shared" si="251"/>
        <v>0.4484429065743944</v>
      </c>
      <c r="AD168" s="178"/>
      <c r="AE168" s="178">
        <f t="shared" si="252"/>
        <v>0.46857142857142853</v>
      </c>
      <c r="AF168" s="560">
        <f>MAX(12000,F168/(0.5*AE168/1000000*Isw_min*Nps))/1000</f>
        <v>2415.2290303390841</v>
      </c>
      <c r="AG168" s="543">
        <f t="shared" si="253"/>
        <v>6.723999999999998E-2</v>
      </c>
      <c r="AI168" s="178">
        <f t="shared" si="254"/>
        <v>2.1540659228538015</v>
      </c>
      <c r="AJ168" s="178">
        <f t="shared" si="255"/>
        <v>2.2593626924453996</v>
      </c>
      <c r="AK168" s="178">
        <f t="shared" si="256"/>
        <v>2.2661945869965923</v>
      </c>
      <c r="AM168" s="560">
        <f t="shared" si="257"/>
        <v>463.99999999999994</v>
      </c>
      <c r="AN168" s="470">
        <f t="shared" si="258"/>
        <v>328.04669788808013</v>
      </c>
      <c r="AP168">
        <f t="shared" si="259"/>
        <v>463.99999999999994</v>
      </c>
      <c r="AQ168">
        <f t="shared" si="260"/>
        <v>328.04669788808013</v>
      </c>
      <c r="AS168" s="6">
        <f t="shared" si="232"/>
        <v>3.048346489807285</v>
      </c>
      <c r="AT168" s="6">
        <f t="shared" si="261"/>
        <v>1.7572820941241998</v>
      </c>
      <c r="AU168" s="6">
        <f t="shared" si="204"/>
        <v>1.2910643956830852</v>
      </c>
      <c r="AV168" s="6"/>
      <c r="AW168" s="178">
        <f t="shared" si="205"/>
        <v>0.57647058823529418</v>
      </c>
      <c r="AX168" s="178">
        <f t="shared" si="228"/>
        <v>5.8610526315789482</v>
      </c>
      <c r="AY168" s="178">
        <f t="shared" si="229"/>
        <v>0.47845327604726101</v>
      </c>
      <c r="AZ168" s="178">
        <f t="shared" si="233"/>
        <v>12.250000000000002</v>
      </c>
      <c r="BA168" s="470">
        <f>L*Isw_max^2/(2*Vout_ripple*Vout)*1000000000*((1+M168)/2)^2</f>
        <v>25.385458958093036</v>
      </c>
      <c r="BB168" s="470">
        <f>L*F168^2/(2*Cout*Vout*Nps^2)*1000000000*((1+M168)/(1-M168))^2+F168*RCoutEsr</f>
        <v>19.902983626652652</v>
      </c>
      <c r="BC168" s="6">
        <f t="shared" si="206"/>
        <v>1.245596110922836</v>
      </c>
      <c r="BD168" s="470">
        <f>((BY168/I168/Efficiency)*AU168/Cin+(BY168/I168/Efficiency)*RCinEsr)*1000</f>
        <v>86.031421697817748</v>
      </c>
      <c r="BF168" s="178">
        <f t="shared" si="234"/>
        <v>0.99040746026659854</v>
      </c>
      <c r="BG168" s="178">
        <f t="shared" si="230"/>
        <v>0.84892068022851297</v>
      </c>
      <c r="BI168" s="543">
        <f t="shared" si="207"/>
        <v>0.10789976310869073</v>
      </c>
      <c r="BJ168" s="543">
        <f t="shared" si="208"/>
        <v>7.8750000000000001E-2</v>
      </c>
      <c r="BK168" s="543">
        <f t="shared" si="209"/>
        <v>1.6402334894404007E-2</v>
      </c>
      <c r="BL168" s="543">
        <f t="shared" si="210"/>
        <v>3.3330057078394391E-2</v>
      </c>
      <c r="BM168">
        <f t="shared" si="211"/>
        <v>2.6099999999999999E-3</v>
      </c>
      <c r="BN168" s="470">
        <f t="shared" si="212"/>
        <v>238.99215508148916</v>
      </c>
      <c r="BO168" s="543">
        <f t="shared" si="213"/>
        <v>0.18559999999999999</v>
      </c>
      <c r="BR168" s="470">
        <f t="shared" si="214"/>
        <v>185.6</v>
      </c>
      <c r="BS168" s="543">
        <f t="shared" si="215"/>
        <v>3.9236277494069362E-2</v>
      </c>
      <c r="BT168" s="543">
        <f t="shared" si="216"/>
        <v>2.8826652852785645E-2</v>
      </c>
      <c r="BU168" s="543">
        <f t="shared" si="217"/>
        <v>0</v>
      </c>
      <c r="BV168" s="543">
        <f t="shared" si="218"/>
        <v>6.2796992481203032E-2</v>
      </c>
      <c r="BW168" s="470">
        <f t="shared" si="219"/>
        <v>130.85992282805802</v>
      </c>
      <c r="BX168" s="178">
        <f t="shared" si="220"/>
        <v>0.5554520779095472</v>
      </c>
      <c r="BY168" s="6">
        <f t="shared" si="221"/>
        <v>5.5679999999999996</v>
      </c>
      <c r="BZ168" s="178">
        <f t="shared" si="222"/>
        <v>0.90929102231185088</v>
      </c>
      <c r="CA168" s="6">
        <f t="shared" si="223"/>
        <v>90.929102231185084</v>
      </c>
      <c r="CD168" s="577">
        <f t="shared" si="262"/>
        <v>-50</v>
      </c>
      <c r="CE168">
        <f t="shared" si="263"/>
        <v>-50</v>
      </c>
    </row>
    <row r="169" spans="5:83" x14ac:dyDescent="0.2">
      <c r="E169" s="175">
        <v>59</v>
      </c>
      <c r="F169" s="222">
        <f t="shared" si="264"/>
        <v>0.47199999999999998</v>
      </c>
      <c r="G169" s="222"/>
      <c r="H169" s="222">
        <f t="shared" si="235"/>
        <v>5.6639999999999997</v>
      </c>
      <c r="I169" s="556">
        <f t="shared" si="236"/>
        <v>9</v>
      </c>
      <c r="J169" s="452">
        <f t="shared" si="237"/>
        <v>12.25</v>
      </c>
      <c r="K169" s="452">
        <f t="shared" si="238"/>
        <v>21.25</v>
      </c>
      <c r="L169" s="452"/>
      <c r="M169" s="222">
        <f t="shared" si="239"/>
        <v>0.57647058823529407</v>
      </c>
      <c r="N169" s="177">
        <f t="shared" si="240"/>
        <v>10.104088235294114</v>
      </c>
      <c r="O169" s="177">
        <f t="shared" si="231"/>
        <v>5.6639999999999997</v>
      </c>
      <c r="P169" s="222">
        <f t="shared" si="241"/>
        <v>0.84200735294117612</v>
      </c>
      <c r="Q169" s="222">
        <f t="shared" si="242"/>
        <v>12</v>
      </c>
      <c r="R169" s="222"/>
      <c r="S169" s="177">
        <f t="shared" si="243"/>
        <v>28.213582275919293</v>
      </c>
      <c r="T169" s="177">
        <f t="shared" si="244"/>
        <v>12</v>
      </c>
      <c r="U169" s="222">
        <f t="shared" si="245"/>
        <v>2.2983172216254926</v>
      </c>
      <c r="V169" s="222">
        <f t="shared" si="246"/>
        <v>1.7875800612642723</v>
      </c>
      <c r="W169" s="222">
        <f t="shared" si="247"/>
        <v>1.3133241266431388</v>
      </c>
      <c r="X169" s="202">
        <f t="shared" si="248"/>
        <v>350</v>
      </c>
      <c r="Y169" s="452">
        <f t="shared" si="190"/>
        <v>322.48658436455332</v>
      </c>
      <c r="AA169" s="222">
        <f t="shared" si="249"/>
        <v>2.1176470588235294</v>
      </c>
      <c r="AB169" s="178">
        <f t="shared" si="250"/>
        <v>1.2100840336134453</v>
      </c>
      <c r="AC169" s="178">
        <f t="shared" si="251"/>
        <v>0.4484429065743944</v>
      </c>
      <c r="AD169" s="178"/>
      <c r="AE169" s="178">
        <f t="shared" si="252"/>
        <v>0.46857142857142853</v>
      </c>
      <c r="AF169" s="560">
        <f>MAX(12000,F169/(0.5*AE169/1000000*Isw_min*Nps))/1000</f>
        <v>2456.8709101725171</v>
      </c>
      <c r="AG169" s="543">
        <f t="shared" si="253"/>
        <v>6.723999999999998E-2</v>
      </c>
      <c r="AI169" s="178">
        <f t="shared" si="254"/>
        <v>2.1725560982400429</v>
      </c>
      <c r="AJ169" s="178">
        <f t="shared" si="255"/>
        <v>2.2983172216254926</v>
      </c>
      <c r="AK169" s="178">
        <f t="shared" si="256"/>
        <v>2.295049793796661</v>
      </c>
      <c r="AM169" s="560">
        <f t="shared" si="257"/>
        <v>472</v>
      </c>
      <c r="AN169" s="470">
        <f t="shared" si="258"/>
        <v>322.48658436455332</v>
      </c>
      <c r="AP169">
        <f t="shared" si="259"/>
        <v>472</v>
      </c>
      <c r="AQ169">
        <f t="shared" si="260"/>
        <v>322.48658436455332</v>
      </c>
      <c r="AS169" s="6">
        <f t="shared" si="232"/>
        <v>3.1009041879074108</v>
      </c>
      <c r="AT169" s="6">
        <f t="shared" si="261"/>
        <v>1.7875800612642723</v>
      </c>
      <c r="AU169" s="6">
        <f t="shared" si="204"/>
        <v>1.3133241266431386</v>
      </c>
      <c r="AV169" s="6"/>
      <c r="AW169" s="178">
        <f t="shared" si="205"/>
        <v>0.57647058823529418</v>
      </c>
      <c r="AX169" s="178">
        <f t="shared" si="228"/>
        <v>5.9621052631578948</v>
      </c>
      <c r="AY169" s="178">
        <f t="shared" si="229"/>
        <v>0.48670247046186893</v>
      </c>
      <c r="AZ169" s="178">
        <f t="shared" si="233"/>
        <v>12.25</v>
      </c>
      <c r="BA169" s="470">
        <f>L*Isw_max^2/(2*Vout_ripple*Vout)*1000000000*((1+M169)/2)^2</f>
        <v>25.385458958093036</v>
      </c>
      <c r="BB169" s="470">
        <f>L*F169^2/(2*Cout*Vout*Nps^2)*1000000000*((1+M169)/(1-M169))^2+F169*RCoutEsr</f>
        <v>20.570796077401273</v>
      </c>
      <c r="BC169" s="6">
        <f t="shared" si="206"/>
        <v>1.2889179732825187</v>
      </c>
      <c r="BD169" s="470">
        <f>((BY169/I169/Efficiency)*AU169/Cin+(BY169/I169/Efficiency)*RCinEsr)*1000</f>
        <v>88.989331617622653</v>
      </c>
      <c r="BF169" s="178">
        <f t="shared" si="234"/>
        <v>1.0074834509608501</v>
      </c>
      <c r="BG169" s="178">
        <f t="shared" si="230"/>
        <v>0.86355724368072861</v>
      </c>
      <c r="BI169" s="543">
        <f t="shared" si="207"/>
        <v>0.1116525194355982</v>
      </c>
      <c r="BJ169" s="543">
        <f t="shared" si="208"/>
        <v>7.8749999999999987E-2</v>
      </c>
      <c r="BK169" s="543">
        <f t="shared" si="209"/>
        <v>1.6124329218227665E-2</v>
      </c>
      <c r="BL169" s="543">
        <f t="shared" si="210"/>
        <v>3.2765140856726688E-2</v>
      </c>
      <c r="BM169">
        <f t="shared" si="211"/>
        <v>2.6099999999999999E-3</v>
      </c>
      <c r="BN169" s="470">
        <f t="shared" si="212"/>
        <v>241.90198951055257</v>
      </c>
      <c r="BO169" s="543">
        <f t="shared" si="213"/>
        <v>0.1888</v>
      </c>
      <c r="BR169" s="470">
        <f t="shared" si="214"/>
        <v>188.79999999999998</v>
      </c>
      <c r="BS169" s="543">
        <f t="shared" si="215"/>
        <v>4.0600916158399343E-2</v>
      </c>
      <c r="BT169" s="543">
        <f t="shared" si="216"/>
        <v>2.9829244524538293E-2</v>
      </c>
      <c r="BU169" s="543">
        <f t="shared" si="217"/>
        <v>0</v>
      </c>
      <c r="BV169" s="543">
        <f t="shared" si="218"/>
        <v>6.38796992481203E-2</v>
      </c>
      <c r="BW169" s="470">
        <f t="shared" si="219"/>
        <v>134.30985993105793</v>
      </c>
      <c r="BX169" s="178">
        <f t="shared" si="220"/>
        <v>0.56501184944161054</v>
      </c>
      <c r="BY169" s="6">
        <f t="shared" si="221"/>
        <v>5.6639999999999997</v>
      </c>
      <c r="BZ169" s="178">
        <f t="shared" si="222"/>
        <v>0.90929350222824501</v>
      </c>
      <c r="CA169" s="6">
        <f t="shared" si="223"/>
        <v>90.929350222824496</v>
      </c>
      <c r="CD169" s="577">
        <f t="shared" si="262"/>
        <v>-50</v>
      </c>
      <c r="CE169">
        <f t="shared" si="263"/>
        <v>-50</v>
      </c>
    </row>
    <row r="170" spans="5:83" x14ac:dyDescent="0.2">
      <c r="E170" s="175">
        <v>60</v>
      </c>
      <c r="F170" s="222">
        <f t="shared" si="264"/>
        <v>0.48</v>
      </c>
      <c r="G170" s="222"/>
      <c r="H170" s="222">
        <f t="shared" si="235"/>
        <v>5.76</v>
      </c>
      <c r="I170" s="556">
        <f t="shared" si="236"/>
        <v>9</v>
      </c>
      <c r="J170" s="452">
        <f t="shared" si="237"/>
        <v>12.25</v>
      </c>
      <c r="K170" s="452">
        <f t="shared" si="238"/>
        <v>21.25</v>
      </c>
      <c r="L170" s="452"/>
      <c r="M170" s="222">
        <f t="shared" si="239"/>
        <v>0.57647058823529407</v>
      </c>
      <c r="N170" s="177">
        <f t="shared" si="240"/>
        <v>10.104088235294114</v>
      </c>
      <c r="O170" s="177">
        <f t="shared" si="231"/>
        <v>5.76</v>
      </c>
      <c r="P170" s="222">
        <f t="shared" si="241"/>
        <v>0.84200735294117612</v>
      </c>
      <c r="Q170" s="222">
        <f t="shared" si="242"/>
        <v>12</v>
      </c>
      <c r="R170" s="222"/>
      <c r="S170" s="177">
        <f t="shared" si="243"/>
        <v>27.596425317253139</v>
      </c>
      <c r="T170" s="177">
        <f t="shared" si="244"/>
        <v>12</v>
      </c>
      <c r="U170" s="222">
        <f t="shared" si="245"/>
        <v>2.3372717508055856</v>
      </c>
      <c r="V170" s="222">
        <f t="shared" si="246"/>
        <v>1.8178780284043445</v>
      </c>
      <c r="W170" s="222">
        <f t="shared" si="247"/>
        <v>1.3355838576031918</v>
      </c>
      <c r="X170" s="202">
        <f t="shared" si="248"/>
        <v>350</v>
      </c>
      <c r="Y170" s="452">
        <f t="shared" ref="Y170:Y210" si="265">MIN(1/(V170+W170)*1000, 350)</f>
        <v>317.11180795847747</v>
      </c>
      <c r="AA170" s="222">
        <f t="shared" si="249"/>
        <v>2.1176470588235294</v>
      </c>
      <c r="AB170" s="178">
        <f t="shared" si="250"/>
        <v>1.2100840336134453</v>
      </c>
      <c r="AC170" s="178">
        <f t="shared" si="251"/>
        <v>0.4484429065743944</v>
      </c>
      <c r="AD170" s="178"/>
      <c r="AE170" s="178">
        <f t="shared" si="252"/>
        <v>0.46857142857142853</v>
      </c>
      <c r="AF170" s="560">
        <f>MAX(12000,F170/(0.5*AE170/1000000*Isw_min*Nps))/1000</f>
        <v>2498.5127900059492</v>
      </c>
      <c r="AG170" s="543">
        <f t="shared" si="253"/>
        <v>6.723999999999998E-2</v>
      </c>
      <c r="AI170" s="178">
        <f t="shared" si="254"/>
        <v>2.1908902300206643</v>
      </c>
      <c r="AJ170" s="178">
        <f t="shared" si="255"/>
        <v>2.3372717508055856</v>
      </c>
      <c r="AK170" s="178">
        <f t="shared" si="256"/>
        <v>2.3239050005967301</v>
      </c>
      <c r="AM170" s="560">
        <f t="shared" si="257"/>
        <v>480</v>
      </c>
      <c r="AN170" s="470">
        <f t="shared" si="258"/>
        <v>317.11180795847747</v>
      </c>
      <c r="AP170">
        <f t="shared" si="259"/>
        <v>480</v>
      </c>
      <c r="AQ170">
        <f t="shared" si="260"/>
        <v>317.11180795847747</v>
      </c>
      <c r="AS170" s="6">
        <f t="shared" si="232"/>
        <v>3.1534618860075363</v>
      </c>
      <c r="AT170" s="6">
        <f t="shared" si="261"/>
        <v>1.8178780284043445</v>
      </c>
      <c r="AU170" s="6">
        <f t="shared" ref="AU170:AU234" si="266">AS170-AT170</f>
        <v>1.3355838576031918</v>
      </c>
      <c r="AV170" s="6"/>
      <c r="AW170" s="178">
        <f t="shared" ref="AW170:AW234" si="267">AT170/AS170</f>
        <v>0.57647058823529418</v>
      </c>
      <c r="AX170" s="178">
        <f t="shared" si="228"/>
        <v>6.0631578947368432</v>
      </c>
      <c r="AY170" s="178">
        <f t="shared" si="229"/>
        <v>0.49495166487647685</v>
      </c>
      <c r="AZ170" s="178">
        <f t="shared" si="233"/>
        <v>12.250000000000004</v>
      </c>
      <c r="BA170" s="470">
        <f>L*Isw_max^2/(2*Vout_ripple*Vout)*1000000000*((1+M170)/2)^2</f>
        <v>25.385458958093036</v>
      </c>
      <c r="BB170" s="470">
        <f>L*F170^2/(2*Cout*Vout*Nps^2)*1000000000*((1+M170)/(1-M170))^2+F170*RCoutEsr</f>
        <v>21.249613869188334</v>
      </c>
      <c r="BC170" s="6">
        <f t="shared" ref="BC170:BC233" si="268">H170/Efficiency/I170*AU170/Vinripple1</f>
        <v>1.3329803802979223</v>
      </c>
      <c r="BD170" s="470">
        <f>((BY170/I170/Efficiency)*AU170/Cin+(BY170/I170/Efficiency)*RCinEsr)*1000</f>
        <v>91.997228301688722</v>
      </c>
      <c r="BF170" s="178">
        <f t="shared" si="234"/>
        <v>1.0245594416551018</v>
      </c>
      <c r="BG170" s="178">
        <f t="shared" si="230"/>
        <v>0.87819380713294437</v>
      </c>
      <c r="BI170" s="543">
        <f t="shared" ref="BI170:BI210" si="269">Rdson*BF170^2</f>
        <v>0.11546942544330754</v>
      </c>
      <c r="BJ170" s="543">
        <f t="shared" ref="BJ170:BJ210" si="270">0.5*K170*AJ170*AN170*1000*Trise</f>
        <v>7.8749999999999987E-2</v>
      </c>
      <c r="BK170" s="543">
        <f t="shared" ref="BK170:BK210" si="271">Qg*Vdd*AN170*1000</f>
        <v>1.585559039792387E-2</v>
      </c>
      <c r="BL170" s="543">
        <f t="shared" ref="BL170:BL210" si="272">0.5*(Coss+Csw)*K170^2*AN170*1000</f>
        <v>3.2219055175781247E-2</v>
      </c>
      <c r="BM170">
        <f t="shared" ref="BM170:BM210" si="273">I170*IQ</f>
        <v>2.6099999999999999E-3</v>
      </c>
      <c r="BN170" s="470">
        <f t="shared" ref="BN170:BN210" si="274">SUM(BI170:BM170)*1000</f>
        <v>244.90407101701265</v>
      </c>
      <c r="BO170" s="543">
        <f t="shared" ref="BO170:BO210" si="275">Vfwd2*F170</f>
        <v>0.192</v>
      </c>
      <c r="BR170" s="470">
        <f t="shared" ref="BR170:BR210" si="276">SUM(BO170:BQ170)*1000</f>
        <v>192</v>
      </c>
      <c r="BS170" s="543">
        <f t="shared" ref="BS170:BS210" si="277">Rdcr_pri*BF170^2</f>
        <v>4.1988881979384558E-2</v>
      </c>
      <c r="BT170" s="543">
        <f t="shared" ref="BT170:BT210" si="278">Rdcr_sec*BG170^2</f>
        <v>3.0848974515466202E-2</v>
      </c>
      <c r="BU170" s="543">
        <f t="shared" ref="BU170:BU210" si="279">AJ170^2.5*AN170^2.5*k_core</f>
        <v>0</v>
      </c>
      <c r="BV170" s="543">
        <f t="shared" ref="BV170:BV210" si="280">0.5*Lleak*0.000000001*AJ170^2*AN170*1000</f>
        <v>6.496240601503761E-2</v>
      </c>
      <c r="BW170" s="470">
        <f t="shared" ref="BW170:BW210" si="281">SUM(BS170:BV170)*1000</f>
        <v>137.80026250988837</v>
      </c>
      <c r="BX170" s="178">
        <f t="shared" ref="BX170:BX210" si="282">SUM(BI170:BM170,BO170:BQ170,BS170:BV170)</f>
        <v>0.57470433352690109</v>
      </c>
      <c r="BY170" s="6">
        <f t="shared" ref="BY170:BY210" si="283">MIN(H170,O170)</f>
        <v>5.76</v>
      </c>
      <c r="BZ170" s="178">
        <f t="shared" ref="BZ170:BZ210" si="284">BY170/(BY170+BX170)</f>
        <v>0.90927684967311972</v>
      </c>
      <c r="CA170" s="6">
        <f t="shared" ref="CA170:CA210" si="285">BZ170*100</f>
        <v>90.927684967311976</v>
      </c>
      <c r="CD170" s="577">
        <f t="shared" si="262"/>
        <v>-50</v>
      </c>
      <c r="CE170">
        <f t="shared" si="263"/>
        <v>-50</v>
      </c>
    </row>
    <row r="171" spans="5:83" x14ac:dyDescent="0.2">
      <c r="E171" s="175">
        <v>61</v>
      </c>
      <c r="F171" s="222">
        <f t="shared" si="264"/>
        <v>0.48799999999999999</v>
      </c>
      <c r="G171" s="222"/>
      <c r="H171" s="222">
        <f t="shared" si="235"/>
        <v>5.8559999999999999</v>
      </c>
      <c r="I171" s="556">
        <f t="shared" si="236"/>
        <v>9</v>
      </c>
      <c r="J171" s="452">
        <f t="shared" si="237"/>
        <v>12.25</v>
      </c>
      <c r="K171" s="452">
        <f t="shared" si="238"/>
        <v>21.25</v>
      </c>
      <c r="L171" s="452"/>
      <c r="M171" s="222">
        <f t="shared" si="239"/>
        <v>0.57647058823529407</v>
      </c>
      <c r="N171" s="177">
        <f t="shared" si="240"/>
        <v>10.104088235294114</v>
      </c>
      <c r="O171" s="177">
        <f t="shared" si="231"/>
        <v>5.8559999999999999</v>
      </c>
      <c r="P171" s="222">
        <f t="shared" si="241"/>
        <v>0.84200735294117612</v>
      </c>
      <c r="Q171" s="222">
        <f t="shared" si="242"/>
        <v>12</v>
      </c>
      <c r="R171" s="222"/>
      <c r="S171" s="177">
        <f t="shared" si="243"/>
        <v>26.999578281906587</v>
      </c>
      <c r="T171" s="177">
        <f t="shared" si="244"/>
        <v>12</v>
      </c>
      <c r="U171" s="222">
        <f t="shared" si="245"/>
        <v>2.376226279985679</v>
      </c>
      <c r="V171" s="222">
        <f t="shared" si="246"/>
        <v>1.8481759955444168</v>
      </c>
      <c r="W171" s="222">
        <f t="shared" si="247"/>
        <v>1.3578435885632449</v>
      </c>
      <c r="X171" s="202">
        <f t="shared" si="248"/>
        <v>350</v>
      </c>
      <c r="Y171" s="452">
        <f t="shared" si="265"/>
        <v>311.91325372964997</v>
      </c>
      <c r="AA171" s="222">
        <f t="shared" si="249"/>
        <v>2.1176470588235294</v>
      </c>
      <c r="AB171" s="178">
        <f t="shared" si="250"/>
        <v>1.2100840336134453</v>
      </c>
      <c r="AC171" s="178">
        <f t="shared" si="251"/>
        <v>0.4484429065743944</v>
      </c>
      <c r="AD171" s="178"/>
      <c r="AE171" s="178">
        <f t="shared" si="252"/>
        <v>0.46857142857142853</v>
      </c>
      <c r="AF171" s="560">
        <f>MAX(12000,F171/(0.5*AE171/1000000*Isw_min*Nps))/1000</f>
        <v>2540.1546698393818</v>
      </c>
      <c r="AG171" s="543">
        <f t="shared" si="253"/>
        <v>6.723999999999998E-2</v>
      </c>
      <c r="AI171" s="178">
        <f t="shared" si="254"/>
        <v>2.2090722034374521</v>
      </c>
      <c r="AJ171" s="178">
        <f t="shared" si="255"/>
        <v>2.376226279985679</v>
      </c>
      <c r="AK171" s="178">
        <f t="shared" si="256"/>
        <v>2.3527602073967993</v>
      </c>
      <c r="AM171" s="560">
        <f t="shared" si="257"/>
        <v>488</v>
      </c>
      <c r="AN171" s="470">
        <f t="shared" si="258"/>
        <v>311.91325372964997</v>
      </c>
      <c r="AP171">
        <f t="shared" si="259"/>
        <v>488</v>
      </c>
      <c r="AQ171">
        <f t="shared" si="260"/>
        <v>311.91325372964997</v>
      </c>
      <c r="AS171" s="6">
        <f t="shared" si="232"/>
        <v>3.2060195841076622</v>
      </c>
      <c r="AT171" s="6">
        <f t="shared" si="261"/>
        <v>1.8481759955444168</v>
      </c>
      <c r="AU171" s="6">
        <f t="shared" si="266"/>
        <v>1.3578435885632454</v>
      </c>
      <c r="AV171" s="6"/>
      <c r="AW171" s="178">
        <f t="shared" si="267"/>
        <v>0.57647058823529407</v>
      </c>
      <c r="AX171" s="178">
        <f t="shared" si="228"/>
        <v>6.1642105263157907</v>
      </c>
      <c r="AY171" s="178">
        <f t="shared" si="229"/>
        <v>0.50320085929108505</v>
      </c>
      <c r="AZ171" s="178">
        <f t="shared" si="233"/>
        <v>12.249999999999998</v>
      </c>
      <c r="BA171" s="470">
        <f>L*Isw_max^2/(2*Vout_ripple*Vout)*1000000000*((1+M171)/2)^2</f>
        <v>25.385458958093036</v>
      </c>
      <c r="BB171" s="470">
        <f>L*F171^2/(2*Cout*Vout*Nps^2)*1000000000*((1+M171)/(1-M171))^2+F171*RCoutEsr</f>
        <v>21.939437002013829</v>
      </c>
      <c r="BC171" s="6">
        <f t="shared" si="268"/>
        <v>1.3777833319690476</v>
      </c>
      <c r="BD171" s="470">
        <f>((BY171/I171/Efficiency)*AU171/Cin+(BY171/I171/Efficiency)*RCinEsr)*1000</f>
        <v>95.055111750015968</v>
      </c>
      <c r="BF171" s="178">
        <f t="shared" si="234"/>
        <v>1.0416354323493535</v>
      </c>
      <c r="BG171" s="178">
        <f t="shared" si="230"/>
        <v>0.89283037058516035</v>
      </c>
      <c r="BI171" s="543">
        <f t="shared" si="269"/>
        <v>0.1193504811318187</v>
      </c>
      <c r="BJ171" s="543">
        <f t="shared" si="270"/>
        <v>7.8750000000000014E-2</v>
      </c>
      <c r="BK171" s="543">
        <f t="shared" si="271"/>
        <v>1.5595662686482497E-2</v>
      </c>
      <c r="BL171" s="543">
        <f t="shared" si="272"/>
        <v>3.1690873943391387E-2</v>
      </c>
      <c r="BM171">
        <f t="shared" si="273"/>
        <v>2.6099999999999999E-3</v>
      </c>
      <c r="BN171" s="470">
        <f t="shared" si="274"/>
        <v>247.99701776169258</v>
      </c>
      <c r="BO171" s="543">
        <f t="shared" si="275"/>
        <v>0.19520000000000001</v>
      </c>
      <c r="BR171" s="470">
        <f t="shared" si="276"/>
        <v>195.20000000000002</v>
      </c>
      <c r="BS171" s="543">
        <f t="shared" si="277"/>
        <v>4.340017495702498E-2</v>
      </c>
      <c r="BT171" s="543">
        <f t="shared" si="278"/>
        <v>3.1885842825569395E-2</v>
      </c>
      <c r="BU171" s="543">
        <f t="shared" si="279"/>
        <v>0</v>
      </c>
      <c r="BV171" s="543">
        <f t="shared" si="280"/>
        <v>6.6045112781954907E-2</v>
      </c>
      <c r="BW171" s="470">
        <f t="shared" si="281"/>
        <v>141.33113056454926</v>
      </c>
      <c r="BX171" s="178">
        <f t="shared" si="282"/>
        <v>0.58452814832624189</v>
      </c>
      <c r="BY171" s="6">
        <f t="shared" si="283"/>
        <v>5.8559999999999999</v>
      </c>
      <c r="BZ171" s="178">
        <f t="shared" si="284"/>
        <v>0.90924220267896072</v>
      </c>
      <c r="CA171" s="6">
        <f t="shared" si="285"/>
        <v>90.924220267896075</v>
      </c>
      <c r="CD171" s="577">
        <f t="shared" si="262"/>
        <v>-50</v>
      </c>
      <c r="CE171">
        <f t="shared" si="263"/>
        <v>-50</v>
      </c>
    </row>
    <row r="172" spans="5:83" x14ac:dyDescent="0.2">
      <c r="E172" s="175">
        <v>62</v>
      </c>
      <c r="F172" s="222">
        <f t="shared" si="264"/>
        <v>0.496</v>
      </c>
      <c r="G172" s="222"/>
      <c r="H172" s="222">
        <f t="shared" si="235"/>
        <v>5.952</v>
      </c>
      <c r="I172" s="556">
        <f t="shared" si="236"/>
        <v>9</v>
      </c>
      <c r="J172" s="452">
        <f t="shared" si="237"/>
        <v>12.25</v>
      </c>
      <c r="K172" s="452">
        <f t="shared" si="238"/>
        <v>21.25</v>
      </c>
      <c r="L172" s="452"/>
      <c r="M172" s="222">
        <f t="shared" si="239"/>
        <v>0.57647058823529407</v>
      </c>
      <c r="N172" s="177">
        <f t="shared" si="240"/>
        <v>10.104088235294114</v>
      </c>
      <c r="O172" s="177">
        <f t="shared" si="231"/>
        <v>5.952</v>
      </c>
      <c r="P172" s="222">
        <f t="shared" si="241"/>
        <v>0.84200735294117612</v>
      </c>
      <c r="Q172" s="222">
        <f t="shared" si="242"/>
        <v>12</v>
      </c>
      <c r="R172" s="222"/>
      <c r="S172" s="177">
        <f t="shared" si="243"/>
        <v>26.422059552924146</v>
      </c>
      <c r="T172" s="177">
        <f t="shared" si="244"/>
        <v>12</v>
      </c>
      <c r="U172" s="222">
        <f t="shared" si="245"/>
        <v>2.415180809165772</v>
      </c>
      <c r="V172" s="222">
        <f t="shared" si="246"/>
        <v>1.8784739626844891</v>
      </c>
      <c r="W172" s="222">
        <f t="shared" si="247"/>
        <v>1.3801033195232981</v>
      </c>
      <c r="X172" s="202">
        <f t="shared" si="248"/>
        <v>350</v>
      </c>
      <c r="Y172" s="452">
        <f t="shared" si="265"/>
        <v>306.8823947985266</v>
      </c>
      <c r="AA172" s="222">
        <f t="shared" si="249"/>
        <v>2.1176470588235294</v>
      </c>
      <c r="AB172" s="178">
        <f t="shared" si="250"/>
        <v>1.2100840336134453</v>
      </c>
      <c r="AC172" s="178">
        <f t="shared" si="251"/>
        <v>0.4484429065743944</v>
      </c>
      <c r="AD172" s="178"/>
      <c r="AE172" s="178">
        <f t="shared" si="252"/>
        <v>0.46857142857142853</v>
      </c>
      <c r="AF172" s="560">
        <f>MAX(12000,F172/(0.5*AE172/1000000*Isw_min*Nps))/1000</f>
        <v>2581.7965496728143</v>
      </c>
      <c r="AG172" s="543">
        <f t="shared" si="253"/>
        <v>6.723999999999998E-2</v>
      </c>
      <c r="AI172" s="178">
        <f t="shared" si="254"/>
        <v>2.2271057451320089</v>
      </c>
      <c r="AJ172" s="178">
        <f t="shared" si="255"/>
        <v>2.415180809165772</v>
      </c>
      <c r="AK172" s="178">
        <f t="shared" si="256"/>
        <v>2.3816154141968684</v>
      </c>
      <c r="AM172" s="560">
        <f t="shared" si="257"/>
        <v>496</v>
      </c>
      <c r="AN172" s="470">
        <f t="shared" si="258"/>
        <v>306.8823947985266</v>
      </c>
      <c r="AP172">
        <f t="shared" si="259"/>
        <v>496</v>
      </c>
      <c r="AQ172">
        <f t="shared" si="260"/>
        <v>306.8823947985266</v>
      </c>
      <c r="AS172" s="6">
        <f t="shared" si="232"/>
        <v>3.2585772822077876</v>
      </c>
      <c r="AT172" s="6">
        <f t="shared" si="261"/>
        <v>1.8784739626844891</v>
      </c>
      <c r="AU172" s="6">
        <f t="shared" si="266"/>
        <v>1.3801033195232986</v>
      </c>
      <c r="AV172" s="6"/>
      <c r="AW172" s="178">
        <f t="shared" si="267"/>
        <v>0.57647058823529407</v>
      </c>
      <c r="AX172" s="178">
        <f t="shared" si="228"/>
        <v>6.2652631578947391</v>
      </c>
      <c r="AY172" s="178">
        <f t="shared" si="229"/>
        <v>0.51145005370569296</v>
      </c>
      <c r="AZ172" s="178">
        <f t="shared" si="233"/>
        <v>12.25</v>
      </c>
      <c r="BA172" s="470">
        <f>L*Isw_max^2/(2*Vout_ripple*Vout)*1000000000*((1+M172)/2)^2</f>
        <v>25.385458958093036</v>
      </c>
      <c r="BB172" s="470">
        <f>L*F172^2/(2*Cout*Vout*Nps^2)*1000000000*((1+M172)/(1-M172))^2+F172*RCoutEsr</f>
        <v>22.640265475877765</v>
      </c>
      <c r="BC172" s="6">
        <f t="shared" si="268"/>
        <v>1.4233268282958931</v>
      </c>
      <c r="BD172" s="470">
        <f>((BY172/I172/Efficiency)*AU172/Cin+(BY172/I172/Efficiency)*RCinEsr)*1000</f>
        <v>98.162981962604363</v>
      </c>
      <c r="BF172" s="178">
        <f t="shared" si="234"/>
        <v>1.0587114230436052</v>
      </c>
      <c r="BG172" s="178">
        <f t="shared" si="230"/>
        <v>0.90746693403737611</v>
      </c>
      <c r="BI172" s="543">
        <f t="shared" si="269"/>
        <v>0.12329568650113172</v>
      </c>
      <c r="BJ172" s="543">
        <f t="shared" si="270"/>
        <v>7.8750000000000014E-2</v>
      </c>
      <c r="BK172" s="543">
        <f t="shared" si="271"/>
        <v>1.5344119739926328E-2</v>
      </c>
      <c r="BL172" s="543">
        <f t="shared" si="272"/>
        <v>3.1179730815272179E-2</v>
      </c>
      <c r="BM172">
        <f t="shared" si="273"/>
        <v>2.6099999999999999E-3</v>
      </c>
      <c r="BN172" s="470">
        <f t="shared" si="274"/>
        <v>251.17953705633022</v>
      </c>
      <c r="BO172" s="543">
        <f t="shared" si="275"/>
        <v>0.19840000000000002</v>
      </c>
      <c r="BR172" s="470">
        <f t="shared" si="276"/>
        <v>198.40000000000003</v>
      </c>
      <c r="BS172" s="543">
        <f t="shared" si="277"/>
        <v>4.4834795091320628E-2</v>
      </c>
      <c r="BT172" s="543">
        <f t="shared" si="278"/>
        <v>3.2939849454847819E-2</v>
      </c>
      <c r="BU172" s="543">
        <f t="shared" si="279"/>
        <v>0</v>
      </c>
      <c r="BV172" s="543">
        <f t="shared" si="280"/>
        <v>6.7127819548872217E-2</v>
      </c>
      <c r="BW172" s="470">
        <f t="shared" si="281"/>
        <v>144.90246409504064</v>
      </c>
      <c r="BX172" s="178">
        <f t="shared" si="282"/>
        <v>0.59448200115137095</v>
      </c>
      <c r="BY172" s="6">
        <f t="shared" si="283"/>
        <v>5.952</v>
      </c>
      <c r="BZ172" s="178">
        <f t="shared" si="284"/>
        <v>0.90919061550206426</v>
      </c>
      <c r="CA172" s="6">
        <f t="shared" si="285"/>
        <v>90.919061550206422</v>
      </c>
      <c r="CD172" s="577">
        <f t="shared" si="262"/>
        <v>-50</v>
      </c>
      <c r="CE172">
        <f t="shared" si="263"/>
        <v>-50</v>
      </c>
    </row>
    <row r="173" spans="5:83" x14ac:dyDescent="0.2">
      <c r="E173" s="175">
        <v>63</v>
      </c>
      <c r="F173" s="222">
        <f t="shared" si="264"/>
        <v>0.504</v>
      </c>
      <c r="G173" s="222"/>
      <c r="H173" s="222">
        <f t="shared" si="235"/>
        <v>6.048</v>
      </c>
      <c r="I173" s="556">
        <f t="shared" si="236"/>
        <v>9</v>
      </c>
      <c r="J173" s="452">
        <f t="shared" si="237"/>
        <v>12.25</v>
      </c>
      <c r="K173" s="452">
        <f t="shared" si="238"/>
        <v>21.25</v>
      </c>
      <c r="L173" s="452"/>
      <c r="M173" s="222">
        <f t="shared" si="239"/>
        <v>0.57647058823529407</v>
      </c>
      <c r="N173" s="177">
        <f t="shared" si="240"/>
        <v>10.104088235294114</v>
      </c>
      <c r="O173" s="177">
        <f t="shared" si="231"/>
        <v>6.048</v>
      </c>
      <c r="P173" s="222">
        <f t="shared" si="241"/>
        <v>0.84200735294117612</v>
      </c>
      <c r="Q173" s="222">
        <f t="shared" si="242"/>
        <v>12</v>
      </c>
      <c r="R173" s="222"/>
      <c r="S173" s="177">
        <f t="shared" si="243"/>
        <v>25.862949859360018</v>
      </c>
      <c r="T173" s="177">
        <f t="shared" si="244"/>
        <v>12</v>
      </c>
      <c r="U173" s="222">
        <f t="shared" si="245"/>
        <v>2.4541353383458651</v>
      </c>
      <c r="V173" s="222">
        <f t="shared" si="246"/>
        <v>1.9087719298245616</v>
      </c>
      <c r="W173" s="222">
        <f t="shared" si="247"/>
        <v>1.4023630504833515</v>
      </c>
      <c r="X173" s="202">
        <f t="shared" si="248"/>
        <v>350</v>
      </c>
      <c r="Y173" s="452">
        <f t="shared" si="265"/>
        <v>302.01124567474045</v>
      </c>
      <c r="AA173" s="222">
        <f t="shared" si="249"/>
        <v>2.1176470588235294</v>
      </c>
      <c r="AB173" s="178">
        <f t="shared" si="250"/>
        <v>1.2100840336134453</v>
      </c>
      <c r="AC173" s="178">
        <f t="shared" si="251"/>
        <v>0.4484429065743944</v>
      </c>
      <c r="AD173" s="178"/>
      <c r="AE173" s="178">
        <f t="shared" si="252"/>
        <v>0.46857142857142853</v>
      </c>
      <c r="AF173" s="560">
        <f>MAX(12000,F173/(0.5*AE173/1000000*Isw_min*Nps))/1000</f>
        <v>2623.4384295062468</v>
      </c>
      <c r="AG173" s="543">
        <f t="shared" si="253"/>
        <v>6.723999999999998E-2</v>
      </c>
      <c r="AI173" s="178">
        <f t="shared" si="254"/>
        <v>2.2449944320643649</v>
      </c>
      <c r="AJ173" s="178">
        <f t="shared" si="255"/>
        <v>2.4541353383458651</v>
      </c>
      <c r="AK173" s="178">
        <f t="shared" si="256"/>
        <v>2.4104706209969375</v>
      </c>
      <c r="AM173" s="560">
        <f t="shared" si="257"/>
        <v>504</v>
      </c>
      <c r="AN173" s="470">
        <f t="shared" si="258"/>
        <v>302.01124567474045</v>
      </c>
      <c r="AP173">
        <f t="shared" si="259"/>
        <v>504</v>
      </c>
      <c r="AQ173">
        <f t="shared" si="260"/>
        <v>302.01124567474045</v>
      </c>
      <c r="AS173" s="6">
        <f t="shared" si="232"/>
        <v>3.3111349803079126</v>
      </c>
      <c r="AT173" s="6">
        <f t="shared" si="261"/>
        <v>1.9087719298245616</v>
      </c>
      <c r="AU173" s="6">
        <f t="shared" si="266"/>
        <v>1.4023630504833511</v>
      </c>
      <c r="AV173" s="6"/>
      <c r="AW173" s="178">
        <f t="shared" si="267"/>
        <v>0.57647058823529418</v>
      </c>
      <c r="AX173" s="178">
        <f t="shared" si="228"/>
        <v>6.3663157894736848</v>
      </c>
      <c r="AY173" s="178">
        <f t="shared" si="229"/>
        <v>0.51969924812030077</v>
      </c>
      <c r="AZ173" s="178">
        <f t="shared" si="233"/>
        <v>12.25</v>
      </c>
      <c r="BA173" s="470">
        <f>L*Isw_max^2/(2*Vout_ripple*Vout)*1000000000*((1+M173)/2)^2</f>
        <v>25.385458958093036</v>
      </c>
      <c r="BB173" s="470">
        <f>L*F173^2/(2*Cout*Vout*Nps^2)*1000000000*((1+M173)/(1-M173))^2+F173*RCoutEsr</f>
        <v>23.352099290780142</v>
      </c>
      <c r="BC173" s="6">
        <f t="shared" si="268"/>
        <v>1.4696108692784593</v>
      </c>
      <c r="BD173" s="470">
        <f>((BY173/I173/Efficiency)*AU173/Cin+(BY173/I173/Efficiency)*RCinEsr)*1000</f>
        <v>101.32083893945391</v>
      </c>
      <c r="BF173" s="178">
        <f t="shared" si="234"/>
        <v>1.0757874137378571</v>
      </c>
      <c r="BG173" s="178">
        <f t="shared" si="230"/>
        <v>0.92210349748959164</v>
      </c>
      <c r="BI173" s="543">
        <f t="shared" si="269"/>
        <v>0.12730504155124661</v>
      </c>
      <c r="BJ173" s="543">
        <f t="shared" si="270"/>
        <v>7.8750000000000001E-2</v>
      </c>
      <c r="BK173" s="543">
        <f t="shared" si="271"/>
        <v>1.5100562283737021E-2</v>
      </c>
      <c r="BL173" s="543">
        <f t="shared" si="272"/>
        <v>3.0684814453124997E-2</v>
      </c>
      <c r="BM173">
        <f t="shared" si="273"/>
        <v>2.6099999999999999E-3</v>
      </c>
      <c r="BN173" s="470">
        <f t="shared" si="274"/>
        <v>254.45041828810861</v>
      </c>
      <c r="BO173" s="543">
        <f t="shared" si="275"/>
        <v>0.2016</v>
      </c>
      <c r="BR173" s="470">
        <f t="shared" si="276"/>
        <v>201.6</v>
      </c>
      <c r="BS173" s="543">
        <f t="shared" si="277"/>
        <v>4.6292742382271497E-2</v>
      </c>
      <c r="BT173" s="543">
        <f t="shared" si="278"/>
        <v>3.4010994403301499E-2</v>
      </c>
      <c r="BU173" s="543">
        <f t="shared" si="279"/>
        <v>0</v>
      </c>
      <c r="BV173" s="543">
        <f t="shared" si="280"/>
        <v>6.8210526315789499E-2</v>
      </c>
      <c r="BW173" s="470">
        <f t="shared" si="281"/>
        <v>148.5142631013625</v>
      </c>
      <c r="BX173" s="178">
        <f t="shared" si="282"/>
        <v>0.60456468138947106</v>
      </c>
      <c r="BY173" s="6">
        <f t="shared" si="283"/>
        <v>6.048</v>
      </c>
      <c r="BZ173" s="178">
        <f t="shared" si="284"/>
        <v>0.90912306601381287</v>
      </c>
      <c r="CA173" s="6">
        <f t="shared" si="285"/>
        <v>90.912306601381289</v>
      </c>
      <c r="CD173" s="577">
        <f t="shared" si="262"/>
        <v>-50</v>
      </c>
      <c r="CE173">
        <f t="shared" si="263"/>
        <v>-50</v>
      </c>
    </row>
    <row r="174" spans="5:83" x14ac:dyDescent="0.2">
      <c r="E174" s="175">
        <v>64</v>
      </c>
      <c r="F174" s="222">
        <f t="shared" si="264"/>
        <v>0.51200000000000001</v>
      </c>
      <c r="G174" s="222"/>
      <c r="H174" s="222">
        <f t="shared" ref="H174:H205" si="286">F174*Vout</f>
        <v>6.1440000000000001</v>
      </c>
      <c r="I174" s="556">
        <f t="shared" ref="I174:I210" si="287">VIN_min</f>
        <v>9</v>
      </c>
      <c r="J174" s="452">
        <f t="shared" ref="J174:J210" si="288">(T174+Vfwd1)*Nps</f>
        <v>12.25</v>
      </c>
      <c r="K174" s="452">
        <f t="shared" ref="K174:K210" si="289">(Vout+Vfwd1)*Nps+I174</f>
        <v>21.25</v>
      </c>
      <c r="L174" s="452"/>
      <c r="M174" s="222">
        <f t="shared" ref="M174:M210" si="290">(Vout+Vfwd1)*Nps/((Vout+Vfwd1)*Nps+I174)</f>
        <v>0.57647058823529407</v>
      </c>
      <c r="N174" s="177">
        <f t="shared" ref="N174:N205" si="291">M174*I174*Isw_max*0.5*Efficiency</f>
        <v>10.104088235294114</v>
      </c>
      <c r="O174" s="177">
        <f t="shared" si="231"/>
        <v>6.1440000000000001</v>
      </c>
      <c r="P174" s="222">
        <f t="shared" ref="P174:P205" si="292">N174/Vout</f>
        <v>0.84200735294117612</v>
      </c>
      <c r="Q174" s="222">
        <f t="shared" ref="Q174:Q210" si="293">MIN(Vout,N174/F174)</f>
        <v>12</v>
      </c>
      <c r="R174" s="222"/>
      <c r="S174" s="177">
        <f t="shared" ref="S174:S210" si="294">(SQRT(Isw_max^2*Nps^2*I174^2+4*Isw_max*F174/Efficiency*(Nps^2*Vfwd1*I174-Nps*I174^2)+4*(F174/Efficiency)^2*Nps^2*Vfwd1^2+8*(F174/Efficiency)^2*Nps*Vfwd1*I174+4*(F174/Efficiency)^2*I174^2)-2*F174/Efficiency*I174-2*F174/Efficiency*Nps*Vfwd1+Isw_max*Nps*I174)/(4*F174/Efficiency*Nps)</f>
        <v>25.32138740596228</v>
      </c>
      <c r="T174" s="177">
        <f t="shared" ref="T174:T205" si="295">MIN(Vout, S174)</f>
        <v>12</v>
      </c>
      <c r="U174" s="222">
        <f t="shared" ref="U174:U210" si="296">MIN(2*Vout*F174/(Efficiency*I174*M174), Isw_max)</f>
        <v>2.4930898675259585</v>
      </c>
      <c r="V174" s="222">
        <f t="shared" ref="V174:V205" si="297">L*U174/I174*1000000</f>
        <v>1.9390698969646345</v>
      </c>
      <c r="W174" s="222">
        <f t="shared" ref="W174:W210" si="298">L*U174/J174*1000000</f>
        <v>1.4246227814434049</v>
      </c>
      <c r="X174" s="202">
        <f t="shared" ref="X174:X210" si="299">IF(1/((350000*L)*(1/I174+1/J174))&gt;Isw_min, 350, 0.001/((Isw_min*L)*(1/I174+1/J174)))</f>
        <v>350</v>
      </c>
      <c r="Y174" s="452">
        <f t="shared" si="265"/>
        <v>297.29231996107256</v>
      </c>
      <c r="AA174" s="222">
        <f t="shared" ref="AA174:AA210" si="300">1/((X174*1000*L)*(1/I174+1/J174))</f>
        <v>2.1176470588235294</v>
      </c>
      <c r="AB174" s="178">
        <f t="shared" ref="AB174:AB205" si="301">L*AA174/J174*1000000</f>
        <v>1.2100840336134453</v>
      </c>
      <c r="AC174" s="178">
        <f t="shared" ref="AC174:AC205" si="302">0.5*AB174*AA174*Nps*X174/1000</f>
        <v>0.4484429065743944</v>
      </c>
      <c r="AD174" s="178"/>
      <c r="AE174" s="178">
        <f t="shared" ref="AE174:AE210" si="303">L*Isw_min/J174*1000000</f>
        <v>0.46857142857142853</v>
      </c>
      <c r="AF174" s="560">
        <f>MAX(12000,F174/(0.5*AE174/1000000*Isw_min*Nps))/1000</f>
        <v>2665.0803093396794</v>
      </c>
      <c r="AG174" s="543">
        <f t="shared" ref="AG174:AG210" si="304">0.5*AE174/1000000*Isw_min*Nps*X174*1000</f>
        <v>6.723999999999998E-2</v>
      </c>
      <c r="AI174" s="178">
        <f t="shared" ref="AI174:AI210" si="305">SQRT(F174/(0.5*L/J174*Fsw_DCM*Nps))</f>
        <v>2.2627416997969521</v>
      </c>
      <c r="AJ174" s="178">
        <f t="shared" ref="AJ174:AJ205" si="306">MAX(IF(F174&gt;AC174,U174,AI174),Isw_min)</f>
        <v>2.4930898675259585</v>
      </c>
      <c r="AK174" s="178">
        <f t="shared" ref="AK174:AK205" si="307">IF(F174&gt;AG174, (AJ174-Isw_min)/1.08*0.8+1.2, AF174*0.2/350+1)</f>
        <v>2.4393258277970062</v>
      </c>
      <c r="AM174" s="560">
        <f t="shared" ref="AM174:AM210" si="308">F174*1000</f>
        <v>512</v>
      </c>
      <c r="AN174" s="470">
        <f t="shared" ref="AN174:AN210" si="309">IF(F174&gt;AG174, Y174, AF174)</f>
        <v>297.29231996107256</v>
      </c>
      <c r="AP174">
        <f t="shared" ref="AP174:AP210" si="310">IF(H174&gt;N174, "",AM174)</f>
        <v>512</v>
      </c>
      <c r="AQ174">
        <f t="shared" ref="AQ174:AQ210" si="311">IF(H174&gt;N174, "",AN174)</f>
        <v>297.29231996107256</v>
      </c>
      <c r="AS174" s="6">
        <f t="shared" si="232"/>
        <v>3.3636926784080394</v>
      </c>
      <c r="AT174" s="6">
        <f t="shared" ref="AT174:AT210" si="312">L*AJ174/I174*1000000</f>
        <v>1.9390698969646345</v>
      </c>
      <c r="AU174" s="6">
        <f t="shared" si="266"/>
        <v>1.4246227814434049</v>
      </c>
      <c r="AV174" s="6"/>
      <c r="AW174" s="178">
        <f t="shared" si="267"/>
        <v>0.57647058823529407</v>
      </c>
      <c r="AX174" s="178">
        <f t="shared" si="228"/>
        <v>6.4673684210526332</v>
      </c>
      <c r="AY174" s="178">
        <f t="shared" si="229"/>
        <v>0.52794844253490891</v>
      </c>
      <c r="AZ174" s="178">
        <f t="shared" si="233"/>
        <v>12.249999999999998</v>
      </c>
      <c r="BA174" s="470">
        <f>L*Isw_max^2/(2*Vout_ripple*Vout)*1000000000*((1+M174)/2)^2</f>
        <v>25.385458958093036</v>
      </c>
      <c r="BB174" s="470">
        <f>L*F174^2/(2*Cout*Vout*Nps^2)*1000000000*((1+M174)/(1-M174))^2+F174*RCoutEsr</f>
        <v>24.07493844672095</v>
      </c>
      <c r="BC174" s="6">
        <f t="shared" si="268"/>
        <v>1.5166354549167478</v>
      </c>
      <c r="BD174" s="470">
        <f>((BY174/I174/Efficiency)*AU174/Cin+(BY174/I174/Efficiency)*RCinEsr)*1000</f>
        <v>104.52868268056469</v>
      </c>
      <c r="BF174" s="178">
        <f t="shared" si="234"/>
        <v>1.0928634044321088</v>
      </c>
      <c r="BG174" s="178">
        <f t="shared" si="230"/>
        <v>0.93674006094180762</v>
      </c>
      <c r="BI174" s="543">
        <f t="shared" si="269"/>
        <v>0.13137854628216331</v>
      </c>
      <c r="BJ174" s="543">
        <f t="shared" si="270"/>
        <v>7.8749999999999987E-2</v>
      </c>
      <c r="BK174" s="543">
        <f t="shared" si="271"/>
        <v>1.4864615998053627E-2</v>
      </c>
      <c r="BL174" s="543">
        <f t="shared" si="272"/>
        <v>3.020536422729491E-2</v>
      </c>
      <c r="BM174">
        <f t="shared" si="273"/>
        <v>2.6099999999999999E-3</v>
      </c>
      <c r="BN174" s="470">
        <f t="shared" si="274"/>
        <v>257.80852650751183</v>
      </c>
      <c r="BO174" s="543">
        <f t="shared" si="275"/>
        <v>0.20480000000000001</v>
      </c>
      <c r="BR174" s="470">
        <f t="shared" si="276"/>
        <v>204.8</v>
      </c>
      <c r="BS174" s="543">
        <f t="shared" si="277"/>
        <v>4.7774016829877565E-2</v>
      </c>
      <c r="BT174" s="543">
        <f t="shared" si="278"/>
        <v>3.5099277670930455E-2</v>
      </c>
      <c r="BU174" s="543">
        <f t="shared" si="279"/>
        <v>0</v>
      </c>
      <c r="BV174" s="543">
        <f t="shared" si="280"/>
        <v>6.9293233082706795E-2</v>
      </c>
      <c r="BW174" s="470">
        <f t="shared" si="281"/>
        <v>152.16652758351481</v>
      </c>
      <c r="BX174" s="178">
        <f t="shared" si="282"/>
        <v>0.61477505409102662</v>
      </c>
      <c r="BY174" s="6">
        <f t="shared" si="283"/>
        <v>6.1440000000000001</v>
      </c>
      <c r="BZ174" s="178">
        <f t="shared" si="284"/>
        <v>0.90904046233660218</v>
      </c>
      <c r="CA174" s="6">
        <f t="shared" si="285"/>
        <v>90.904046233660225</v>
      </c>
      <c r="CD174" s="577">
        <f t="shared" ref="CD174:CD210" si="313">IF(ABS(F174-Ioutmax_Vinmin)&lt;Iout/200, AN174, -50)</f>
        <v>-50</v>
      </c>
      <c r="CE174">
        <f t="shared" ref="CE174:CE210" si="314">IF(ABS(F174-Ioutmax_Vinmin)&lt;Iout/200, N174*BZ174, -50)</f>
        <v>-50</v>
      </c>
    </row>
    <row r="175" spans="5:83" x14ac:dyDescent="0.2">
      <c r="E175" s="175">
        <v>65</v>
      </c>
      <c r="F175" s="222">
        <f t="shared" ref="F175:F206" si="315">IF(PLOT_TYPE=1, E175/100*Iout_max, min_I*EXP(N175*rr/100))</f>
        <v>0.52</v>
      </c>
      <c r="G175" s="222"/>
      <c r="H175" s="222">
        <f t="shared" si="286"/>
        <v>6.24</v>
      </c>
      <c r="I175" s="556">
        <f t="shared" si="287"/>
        <v>9</v>
      </c>
      <c r="J175" s="452">
        <f t="shared" si="288"/>
        <v>12.25</v>
      </c>
      <c r="K175" s="452">
        <f t="shared" si="289"/>
        <v>21.25</v>
      </c>
      <c r="L175" s="452"/>
      <c r="M175" s="222">
        <f t="shared" si="290"/>
        <v>0.57647058823529407</v>
      </c>
      <c r="N175" s="177">
        <f t="shared" si="291"/>
        <v>10.104088235294114</v>
      </c>
      <c r="O175" s="177">
        <f t="shared" si="231"/>
        <v>6.24</v>
      </c>
      <c r="P175" s="222">
        <f t="shared" si="292"/>
        <v>0.84200735294117612</v>
      </c>
      <c r="Q175" s="222">
        <f t="shared" si="293"/>
        <v>12</v>
      </c>
      <c r="R175" s="222"/>
      <c r="S175" s="177">
        <f t="shared" si="294"/>
        <v>24.796563452435901</v>
      </c>
      <c r="T175" s="177">
        <f t="shared" si="295"/>
        <v>12</v>
      </c>
      <c r="U175" s="222">
        <f t="shared" si="296"/>
        <v>2.5320443967060515</v>
      </c>
      <c r="V175" s="222">
        <f t="shared" si="297"/>
        <v>1.9693678641047065</v>
      </c>
      <c r="W175" s="222">
        <f t="shared" si="298"/>
        <v>1.4468825124034579</v>
      </c>
      <c r="X175" s="202">
        <f t="shared" si="299"/>
        <v>350</v>
      </c>
      <c r="Y175" s="452">
        <f t="shared" si="265"/>
        <v>292.71859196167151</v>
      </c>
      <c r="AA175" s="222">
        <f t="shared" si="300"/>
        <v>2.1176470588235294</v>
      </c>
      <c r="AB175" s="178">
        <f t="shared" si="301"/>
        <v>1.2100840336134453</v>
      </c>
      <c r="AC175" s="178">
        <f t="shared" si="302"/>
        <v>0.4484429065743944</v>
      </c>
      <c r="AD175" s="178"/>
      <c r="AE175" s="178">
        <f t="shared" si="303"/>
        <v>0.46857142857142853</v>
      </c>
      <c r="AF175" s="560">
        <f>MAX(12000,F175/(0.5*AE175/1000000*Isw_min*Nps))/1000</f>
        <v>2706.7221891731115</v>
      </c>
      <c r="AG175" s="543">
        <f t="shared" si="304"/>
        <v>6.723999999999998E-2</v>
      </c>
      <c r="AI175" s="178">
        <f t="shared" si="305"/>
        <v>2.2803508501982761</v>
      </c>
      <c r="AJ175" s="178">
        <f t="shared" si="306"/>
        <v>2.5320443967060515</v>
      </c>
      <c r="AK175" s="178">
        <f t="shared" si="307"/>
        <v>2.4681810345970754</v>
      </c>
      <c r="AM175" s="560">
        <f t="shared" si="308"/>
        <v>520</v>
      </c>
      <c r="AN175" s="470">
        <f t="shared" si="309"/>
        <v>292.71859196167151</v>
      </c>
      <c r="AP175">
        <f t="shared" si="310"/>
        <v>520</v>
      </c>
      <c r="AQ175">
        <f t="shared" si="311"/>
        <v>292.71859196167151</v>
      </c>
      <c r="AS175" s="6">
        <f t="shared" si="232"/>
        <v>3.4162503765081644</v>
      </c>
      <c r="AT175" s="6">
        <f t="shared" si="312"/>
        <v>1.9693678641047065</v>
      </c>
      <c r="AU175" s="6">
        <f t="shared" si="266"/>
        <v>1.4468825124034579</v>
      </c>
      <c r="AV175" s="6"/>
      <c r="AW175" s="178">
        <f t="shared" si="267"/>
        <v>0.57647058823529407</v>
      </c>
      <c r="AX175" s="178">
        <f t="shared" si="228"/>
        <v>6.5684210526315816</v>
      </c>
      <c r="AY175" s="178">
        <f t="shared" si="229"/>
        <v>0.53619763694951683</v>
      </c>
      <c r="AZ175" s="178">
        <f t="shared" si="233"/>
        <v>12.25</v>
      </c>
      <c r="BA175" s="470">
        <f>L*Isw_max^2/(2*Vout_ripple*Vout)*1000000000*((1+M175)/2)^2</f>
        <v>25.385458958093036</v>
      </c>
      <c r="BB175" s="470">
        <f>L*F175^2/(2*Cout*Vout*Nps^2)*1000000000*((1+M175)/(1-M175))^2+F175*RCoutEsr</f>
        <v>24.808782943700198</v>
      </c>
      <c r="BC175" s="6">
        <f t="shared" si="268"/>
        <v>1.5644005852107563</v>
      </c>
      <c r="BD175" s="470">
        <f>((BY175/I175/Efficiency)*AU175/Cin+(BY175/I175/Efficiency)*RCinEsr)*1000</f>
        <v>107.78651318593658</v>
      </c>
      <c r="BF175" s="178">
        <f t="shared" si="234"/>
        <v>1.1099393951263605</v>
      </c>
      <c r="BG175" s="178">
        <f t="shared" si="230"/>
        <v>0.95137662439402337</v>
      </c>
      <c r="BI175" s="543">
        <f t="shared" si="269"/>
        <v>0.13551620069388182</v>
      </c>
      <c r="BJ175" s="543">
        <f t="shared" si="270"/>
        <v>7.8750000000000014E-2</v>
      </c>
      <c r="BK175" s="543">
        <f t="shared" si="271"/>
        <v>1.4635929598083575E-2</v>
      </c>
      <c r="BL175" s="543">
        <f t="shared" si="272"/>
        <v>2.9740666316105765E-2</v>
      </c>
      <c r="BM175">
        <f t="shared" si="273"/>
        <v>2.6099999999999999E-3</v>
      </c>
      <c r="BN175" s="470">
        <f t="shared" si="274"/>
        <v>261.25279660807115</v>
      </c>
      <c r="BO175" s="543">
        <f t="shared" si="275"/>
        <v>0.20800000000000002</v>
      </c>
      <c r="BR175" s="470">
        <f t="shared" si="276"/>
        <v>208.00000000000003</v>
      </c>
      <c r="BS175" s="543">
        <f t="shared" si="277"/>
        <v>4.9278618434138846E-2</v>
      </c>
      <c r="BT175" s="543">
        <f t="shared" si="278"/>
        <v>3.6204699257734667E-2</v>
      </c>
      <c r="BU175" s="543">
        <f t="shared" si="279"/>
        <v>0</v>
      </c>
      <c r="BV175" s="543">
        <f t="shared" si="280"/>
        <v>7.0375939849624106E-2</v>
      </c>
      <c r="BW175" s="470">
        <f t="shared" si="281"/>
        <v>155.85925754149758</v>
      </c>
      <c r="BX175" s="178">
        <f t="shared" si="282"/>
        <v>0.62511205414956872</v>
      </c>
      <c r="BY175" s="6">
        <f t="shared" si="283"/>
        <v>6.24</v>
      </c>
      <c r="BZ175" s="178">
        <f t="shared" si="284"/>
        <v>0.90894364881171541</v>
      </c>
      <c r="CA175" s="6">
        <f t="shared" si="285"/>
        <v>90.894364881171541</v>
      </c>
      <c r="CD175" s="577">
        <f t="shared" si="313"/>
        <v>-50</v>
      </c>
      <c r="CE175">
        <f t="shared" si="314"/>
        <v>-50</v>
      </c>
    </row>
    <row r="176" spans="5:83" x14ac:dyDescent="0.2">
      <c r="E176" s="175">
        <v>66</v>
      </c>
      <c r="F176" s="222">
        <f t="shared" si="315"/>
        <v>0.52800000000000002</v>
      </c>
      <c r="G176" s="222"/>
      <c r="H176" s="222">
        <f t="shared" si="286"/>
        <v>6.3360000000000003</v>
      </c>
      <c r="I176" s="556">
        <f t="shared" si="287"/>
        <v>9</v>
      </c>
      <c r="J176" s="452">
        <f t="shared" si="288"/>
        <v>12.25</v>
      </c>
      <c r="K176" s="452">
        <f t="shared" si="289"/>
        <v>21.25</v>
      </c>
      <c r="L176" s="452"/>
      <c r="M176" s="222">
        <f t="shared" si="290"/>
        <v>0.57647058823529407</v>
      </c>
      <c r="N176" s="177">
        <f t="shared" si="291"/>
        <v>10.104088235294114</v>
      </c>
      <c r="O176" s="177">
        <f t="shared" si="231"/>
        <v>6.3360000000000003</v>
      </c>
      <c r="P176" s="222">
        <f t="shared" si="292"/>
        <v>0.84200735294117612</v>
      </c>
      <c r="Q176" s="222">
        <f t="shared" si="293"/>
        <v>12</v>
      </c>
      <c r="R176" s="222"/>
      <c r="S176" s="177">
        <f t="shared" si="294"/>
        <v>24.287718294602421</v>
      </c>
      <c r="T176" s="551">
        <f t="shared" si="295"/>
        <v>12</v>
      </c>
      <c r="U176" s="222">
        <f t="shared" si="296"/>
        <v>2.5709989258861445</v>
      </c>
      <c r="V176" s="222">
        <f t="shared" si="297"/>
        <v>1.9996658312447788</v>
      </c>
      <c r="W176" s="222">
        <f t="shared" si="298"/>
        <v>1.4691422433635111</v>
      </c>
      <c r="X176" s="202">
        <f t="shared" si="299"/>
        <v>350</v>
      </c>
      <c r="Y176" s="452">
        <f t="shared" si="265"/>
        <v>288.2834617804341</v>
      </c>
      <c r="AA176" s="222">
        <f t="shared" si="300"/>
        <v>2.1176470588235294</v>
      </c>
      <c r="AB176" s="178">
        <f t="shared" si="301"/>
        <v>1.2100840336134453</v>
      </c>
      <c r="AC176" s="178">
        <f t="shared" si="302"/>
        <v>0.4484429065743944</v>
      </c>
      <c r="AD176" s="178"/>
      <c r="AE176" s="178">
        <f t="shared" si="303"/>
        <v>0.46857142857142853</v>
      </c>
      <c r="AF176" s="560">
        <f>MAX(12000,F176/(0.5*AE176/1000000*Isw_min*Nps))/1000</f>
        <v>2748.3640690065445</v>
      </c>
      <c r="AG176" s="543">
        <f t="shared" si="304"/>
        <v>6.723999999999998E-2</v>
      </c>
      <c r="AI176" s="178">
        <f t="shared" si="305"/>
        <v>2.2978250586152114</v>
      </c>
      <c r="AJ176" s="178">
        <f t="shared" si="306"/>
        <v>2.5709989258861445</v>
      </c>
      <c r="AK176" s="178">
        <f t="shared" si="307"/>
        <v>2.4970362413971445</v>
      </c>
      <c r="AM176" s="560">
        <f t="shared" si="308"/>
        <v>528</v>
      </c>
      <c r="AN176" s="470">
        <f t="shared" si="309"/>
        <v>288.2834617804341</v>
      </c>
      <c r="AP176">
        <f t="shared" si="310"/>
        <v>528</v>
      </c>
      <c r="AQ176">
        <f t="shared" si="311"/>
        <v>288.2834617804341</v>
      </c>
      <c r="AS176" s="6">
        <f t="shared" si="232"/>
        <v>3.4688080746082894</v>
      </c>
      <c r="AT176" s="6">
        <f t="shared" si="312"/>
        <v>1.9996658312447788</v>
      </c>
      <c r="AU176" s="6">
        <f t="shared" si="266"/>
        <v>1.4691422433635106</v>
      </c>
      <c r="AV176" s="6"/>
      <c r="AW176" s="178">
        <f t="shared" si="267"/>
        <v>0.57647058823529418</v>
      </c>
      <c r="AX176" s="178">
        <f t="shared" si="228"/>
        <v>6.6694736842105291</v>
      </c>
      <c r="AY176" s="178">
        <f t="shared" si="229"/>
        <v>0.54444683136412464</v>
      </c>
      <c r="AZ176" s="178">
        <f t="shared" si="233"/>
        <v>12.250000000000004</v>
      </c>
      <c r="BA176" s="470">
        <f>L*Isw_max^2/(2*Vout_ripple*Vout)*1000000000*((1+M176)/2)^2</f>
        <v>25.385458958093036</v>
      </c>
      <c r="BB176" s="470">
        <f>L*F176^2/(2*Cout*Vout*Nps^2)*1000000000*((1+M176)/(1-M176))^2+F176*RCoutEsr</f>
        <v>25.553632781717891</v>
      </c>
      <c r="BC176" s="6">
        <f t="shared" si="268"/>
        <v>1.612906260160486</v>
      </c>
      <c r="BD176" s="470">
        <f>((BY176/I176/Efficiency)*AU176/Cin+(BY176/I176/Efficiency)*RCinEsr)*1000</f>
        <v>111.09433045556966</v>
      </c>
      <c r="BF176" s="178">
        <f t="shared" si="234"/>
        <v>1.1270153858206122</v>
      </c>
      <c r="BG176" s="178">
        <f t="shared" si="230"/>
        <v>0.96601318784623891</v>
      </c>
      <c r="BI176" s="543">
        <f t="shared" si="269"/>
        <v>0.13971800478640217</v>
      </c>
      <c r="BJ176" s="543">
        <f t="shared" si="270"/>
        <v>7.8750000000000014E-2</v>
      </c>
      <c r="BK176" s="543">
        <f t="shared" si="271"/>
        <v>1.4414173089021704E-2</v>
      </c>
      <c r="BL176" s="543">
        <f t="shared" si="272"/>
        <v>2.9290050159801136E-2</v>
      </c>
      <c r="BM176">
        <f t="shared" si="273"/>
        <v>2.6099999999999999E-3</v>
      </c>
      <c r="BN176" s="470">
        <f t="shared" si="274"/>
        <v>264.78222803522505</v>
      </c>
      <c r="BO176" s="543">
        <f t="shared" si="275"/>
        <v>0.21120000000000003</v>
      </c>
      <c r="BR176" s="470">
        <f t="shared" si="276"/>
        <v>211.20000000000002</v>
      </c>
      <c r="BS176" s="543">
        <f t="shared" si="277"/>
        <v>5.0806547195055334E-2</v>
      </c>
      <c r="BT176" s="543">
        <f t="shared" si="278"/>
        <v>3.7327259163714113E-2</v>
      </c>
      <c r="BU176" s="543">
        <f t="shared" si="279"/>
        <v>0</v>
      </c>
      <c r="BV176" s="543">
        <f t="shared" si="280"/>
        <v>7.1458646616541388E-2</v>
      </c>
      <c r="BW176" s="470">
        <f t="shared" si="281"/>
        <v>159.59245297531083</v>
      </c>
      <c r="BX176" s="178">
        <f t="shared" si="282"/>
        <v>0.63557468101053582</v>
      </c>
      <c r="BY176" s="6">
        <f t="shared" si="283"/>
        <v>6.3360000000000003</v>
      </c>
      <c r="BZ176" s="178">
        <f t="shared" si="284"/>
        <v>0.90883341137523199</v>
      </c>
      <c r="CA176" s="6">
        <f t="shared" si="285"/>
        <v>90.883341137523203</v>
      </c>
      <c r="CD176" s="577">
        <f t="shared" si="313"/>
        <v>-50</v>
      </c>
      <c r="CE176">
        <f t="shared" si="314"/>
        <v>-50</v>
      </c>
    </row>
    <row r="177" spans="5:83" x14ac:dyDescent="0.2">
      <c r="E177" s="175">
        <v>67</v>
      </c>
      <c r="F177" s="222">
        <f t="shared" si="315"/>
        <v>0.53600000000000003</v>
      </c>
      <c r="G177" s="222"/>
      <c r="H177" s="222">
        <f t="shared" si="286"/>
        <v>6.4320000000000004</v>
      </c>
      <c r="I177" s="556">
        <f t="shared" si="287"/>
        <v>9</v>
      </c>
      <c r="J177" s="452">
        <f t="shared" si="288"/>
        <v>12.25</v>
      </c>
      <c r="K177" s="452">
        <f t="shared" si="289"/>
        <v>21.25</v>
      </c>
      <c r="L177" s="452"/>
      <c r="M177" s="222">
        <f t="shared" si="290"/>
        <v>0.57647058823529407</v>
      </c>
      <c r="N177" s="177">
        <f t="shared" si="291"/>
        <v>10.104088235294114</v>
      </c>
      <c r="O177" s="177">
        <f t="shared" si="231"/>
        <v>6.4320000000000004</v>
      </c>
      <c r="P177" s="222">
        <f t="shared" si="292"/>
        <v>0.84200735294117612</v>
      </c>
      <c r="Q177" s="222">
        <f t="shared" si="293"/>
        <v>12</v>
      </c>
      <c r="R177" s="222"/>
      <c r="S177" s="177">
        <f t="shared" si="294"/>
        <v>23.794137605467281</v>
      </c>
      <c r="T177" s="551">
        <f t="shared" si="295"/>
        <v>12</v>
      </c>
      <c r="U177" s="222">
        <f t="shared" si="296"/>
        <v>2.6099534550662375</v>
      </c>
      <c r="V177" s="222">
        <f t="shared" si="297"/>
        <v>2.0299637983848515</v>
      </c>
      <c r="W177" s="222">
        <f t="shared" si="298"/>
        <v>1.4914019743235643</v>
      </c>
      <c r="X177" s="202">
        <f t="shared" si="299"/>
        <v>350</v>
      </c>
      <c r="Y177" s="452">
        <f t="shared" si="265"/>
        <v>283.98072354490517</v>
      </c>
      <c r="AA177" s="222">
        <f t="shared" si="300"/>
        <v>2.1176470588235294</v>
      </c>
      <c r="AB177" s="178">
        <f t="shared" si="301"/>
        <v>1.2100840336134453</v>
      </c>
      <c r="AC177" s="178">
        <f t="shared" si="302"/>
        <v>0.4484429065743944</v>
      </c>
      <c r="AD177" s="178"/>
      <c r="AE177" s="178">
        <f t="shared" si="303"/>
        <v>0.46857142857142853</v>
      </c>
      <c r="AF177" s="560">
        <f>MAX(12000,F177/(0.5*AE177/1000000*Isw_min*Nps))/1000</f>
        <v>2790.005948839977</v>
      </c>
      <c r="AG177" s="543">
        <f t="shared" si="304"/>
        <v>6.723999999999998E-2</v>
      </c>
      <c r="AI177" s="178">
        <f t="shared" si="305"/>
        <v>2.3151673805580453</v>
      </c>
      <c r="AJ177" s="178">
        <f t="shared" si="306"/>
        <v>2.6099534550662375</v>
      </c>
      <c r="AK177" s="178">
        <f t="shared" si="307"/>
        <v>2.5258914481972132</v>
      </c>
      <c r="AM177" s="560">
        <f t="shared" si="308"/>
        <v>536</v>
      </c>
      <c r="AN177" s="470">
        <f t="shared" si="309"/>
        <v>283.98072354490517</v>
      </c>
      <c r="AP177">
        <f t="shared" si="310"/>
        <v>536</v>
      </c>
      <c r="AQ177">
        <f t="shared" si="311"/>
        <v>283.98072354490517</v>
      </c>
      <c r="AS177" s="6">
        <f t="shared" si="232"/>
        <v>3.5213657727084158</v>
      </c>
      <c r="AT177" s="6">
        <f t="shared" si="312"/>
        <v>2.0299637983848515</v>
      </c>
      <c r="AU177" s="6">
        <f t="shared" si="266"/>
        <v>1.4914019743235643</v>
      </c>
      <c r="AV177" s="6"/>
      <c r="AW177" s="178">
        <f t="shared" si="267"/>
        <v>0.57647058823529418</v>
      </c>
      <c r="AX177" s="178">
        <f t="shared" si="228"/>
        <v>6.7705263157894739</v>
      </c>
      <c r="AY177" s="178">
        <f t="shared" si="229"/>
        <v>0.55269602577873256</v>
      </c>
      <c r="AZ177" s="178">
        <f t="shared" si="233"/>
        <v>12.25</v>
      </c>
      <c r="BA177" s="470">
        <f>L*Isw_max^2/(2*Vout_ripple*Vout)*1000000000*((1+M177)/2)^2</f>
        <v>25.385458958093036</v>
      </c>
      <c r="BB177" s="470">
        <f>L*F177^2/(2*Cout*Vout*Nps^2)*1000000000*((1+M177)/(1-M177))^2+F177*RCoutEsr</f>
        <v>26.30948796077401</v>
      </c>
      <c r="BC177" s="6">
        <f t="shared" si="268"/>
        <v>1.6621524797659375</v>
      </c>
      <c r="BD177" s="470">
        <f>((BY177/I177/Efficiency)*AU177/Cin+(BY177/I177/Efficiency)*RCinEsr)*1000</f>
        <v>114.45213448946392</v>
      </c>
      <c r="BF177" s="178">
        <f t="shared" si="234"/>
        <v>1.1440913765148639</v>
      </c>
      <c r="BG177" s="178">
        <f t="shared" si="230"/>
        <v>0.98064975129845466</v>
      </c>
      <c r="BI177" s="543">
        <f t="shared" si="269"/>
        <v>0.14398395855972437</v>
      </c>
      <c r="BJ177" s="543">
        <f t="shared" si="270"/>
        <v>7.8750000000000001E-2</v>
      </c>
      <c r="BK177" s="543">
        <f t="shared" si="271"/>
        <v>1.4199036177245258E-2</v>
      </c>
      <c r="BL177" s="543">
        <f t="shared" si="272"/>
        <v>2.8852885232042907E-2</v>
      </c>
      <c r="BM177">
        <f t="shared" si="273"/>
        <v>2.6099999999999999E-3</v>
      </c>
      <c r="BN177" s="470">
        <f t="shared" si="274"/>
        <v>268.39587996901258</v>
      </c>
      <c r="BO177" s="543">
        <f t="shared" si="275"/>
        <v>0.21440000000000003</v>
      </c>
      <c r="BR177" s="470">
        <f t="shared" si="276"/>
        <v>214.40000000000003</v>
      </c>
      <c r="BS177" s="543">
        <f t="shared" si="277"/>
        <v>5.2357803112627048E-2</v>
      </c>
      <c r="BT177" s="543">
        <f t="shared" si="278"/>
        <v>3.8466957388868843E-2</v>
      </c>
      <c r="BU177" s="543">
        <f t="shared" si="279"/>
        <v>0</v>
      </c>
      <c r="BV177" s="543">
        <f t="shared" si="280"/>
        <v>7.254135338345867E-2</v>
      </c>
      <c r="BW177" s="470">
        <f t="shared" si="281"/>
        <v>163.36611388495456</v>
      </c>
      <c r="BX177" s="178">
        <f t="shared" si="282"/>
        <v>0.64616199385396722</v>
      </c>
      <c r="BY177" s="6">
        <f t="shared" si="283"/>
        <v>6.4320000000000004</v>
      </c>
      <c r="BZ177" s="178">
        <f t="shared" si="284"/>
        <v>0.90871048240842245</v>
      </c>
      <c r="CA177" s="6">
        <f t="shared" si="285"/>
        <v>90.871048240842242</v>
      </c>
      <c r="CD177" s="577">
        <f t="shared" si="313"/>
        <v>-50</v>
      </c>
      <c r="CE177">
        <f t="shared" si="314"/>
        <v>-50</v>
      </c>
    </row>
    <row r="178" spans="5:83" x14ac:dyDescent="0.2">
      <c r="E178" s="175">
        <v>68</v>
      </c>
      <c r="F178" s="222">
        <f t="shared" si="315"/>
        <v>0.54400000000000004</v>
      </c>
      <c r="G178" s="222"/>
      <c r="H178" s="222">
        <f t="shared" si="286"/>
        <v>6.5280000000000005</v>
      </c>
      <c r="I178" s="556">
        <f t="shared" si="287"/>
        <v>9</v>
      </c>
      <c r="J178" s="452">
        <f t="shared" si="288"/>
        <v>12.25</v>
      </c>
      <c r="K178" s="452">
        <f t="shared" si="289"/>
        <v>21.25</v>
      </c>
      <c r="L178" s="452"/>
      <c r="M178" s="222">
        <f t="shared" si="290"/>
        <v>0.57647058823529407</v>
      </c>
      <c r="N178" s="177">
        <f t="shared" si="291"/>
        <v>10.104088235294114</v>
      </c>
      <c r="O178" s="177">
        <f t="shared" si="231"/>
        <v>6.5280000000000005</v>
      </c>
      <c r="P178" s="222">
        <f t="shared" si="292"/>
        <v>0.84200735294117612</v>
      </c>
      <c r="Q178" s="222">
        <f t="shared" si="293"/>
        <v>12</v>
      </c>
      <c r="R178" s="222"/>
      <c r="S178" s="177">
        <f t="shared" si="294"/>
        <v>23.315149099145732</v>
      </c>
      <c r="T178" s="551">
        <f t="shared" si="295"/>
        <v>12</v>
      </c>
      <c r="U178" s="222">
        <f t="shared" si="296"/>
        <v>2.648907984246331</v>
      </c>
      <c r="V178" s="222">
        <f t="shared" si="297"/>
        <v>2.060261765524924</v>
      </c>
      <c r="W178" s="222">
        <f t="shared" si="298"/>
        <v>1.5136617052836177</v>
      </c>
      <c r="X178" s="202">
        <f t="shared" si="299"/>
        <v>350</v>
      </c>
      <c r="Y178" s="452">
        <f t="shared" si="265"/>
        <v>279.80453643395066</v>
      </c>
      <c r="AA178" s="222">
        <f t="shared" si="300"/>
        <v>2.1176470588235294</v>
      </c>
      <c r="AB178" s="178">
        <f t="shared" si="301"/>
        <v>1.2100840336134453</v>
      </c>
      <c r="AC178" s="178">
        <f t="shared" si="302"/>
        <v>0.4484429065743944</v>
      </c>
      <c r="AD178" s="178"/>
      <c r="AE178" s="178">
        <f t="shared" si="303"/>
        <v>0.46857142857142853</v>
      </c>
      <c r="AF178" s="560">
        <f>MAX(12000,F178/(0.5*AE178/1000000*Isw_min*Nps))/1000</f>
        <v>2831.6478286734091</v>
      </c>
      <c r="AG178" s="543">
        <f t="shared" si="304"/>
        <v>6.723999999999998E-2</v>
      </c>
      <c r="AI178" s="178">
        <f t="shared" si="305"/>
        <v>2.3323807579381204</v>
      </c>
      <c r="AJ178" s="178">
        <f t="shared" si="306"/>
        <v>2.648907984246331</v>
      </c>
      <c r="AK178" s="178">
        <f t="shared" si="307"/>
        <v>2.5547466549972824</v>
      </c>
      <c r="AM178" s="560">
        <f t="shared" si="308"/>
        <v>544</v>
      </c>
      <c r="AN178" s="470">
        <f t="shared" si="309"/>
        <v>279.80453643395066</v>
      </c>
      <c r="AP178">
        <f t="shared" si="310"/>
        <v>544</v>
      </c>
      <c r="AQ178">
        <f t="shared" si="311"/>
        <v>279.80453643395066</v>
      </c>
      <c r="AS178" s="6">
        <f t="shared" si="232"/>
        <v>3.5739234708085417</v>
      </c>
      <c r="AT178" s="6">
        <f t="shared" si="312"/>
        <v>2.060261765524924</v>
      </c>
      <c r="AU178" s="6">
        <f t="shared" si="266"/>
        <v>1.5136617052836177</v>
      </c>
      <c r="AV178" s="6"/>
      <c r="AW178" s="178">
        <f t="shared" si="267"/>
        <v>0.57647058823529407</v>
      </c>
      <c r="AX178" s="178">
        <f t="shared" si="228"/>
        <v>6.8715789473684241</v>
      </c>
      <c r="AY178" s="178">
        <f t="shared" si="229"/>
        <v>0.5609452201933407</v>
      </c>
      <c r="AZ178" s="178">
        <f t="shared" si="233"/>
        <v>12.250000000000002</v>
      </c>
      <c r="BA178" s="470">
        <f>L*Isw_max^2/(2*Vout_ripple*Vout)*1000000000*((1+M178)/2)^2</f>
        <v>25.385458958093036</v>
      </c>
      <c r="BB178" s="470">
        <f>L*F178^2/(2*Cout*Vout*Nps^2)*1000000000*((1+M178)/(1-M178))^2+F178*RCoutEsr</f>
        <v>27.076348480868578</v>
      </c>
      <c r="BC178" s="6">
        <f t="shared" si="268"/>
        <v>1.7121392440271095</v>
      </c>
      <c r="BD178" s="470">
        <f>((BY178/I178/Efficiency)*AU178/Cin+(BY178/I178/Efficiency)*RCinEsr)*1000</f>
        <v>117.85992528761939</v>
      </c>
      <c r="BF178" s="178">
        <f t="shared" si="234"/>
        <v>1.1611673672091156</v>
      </c>
      <c r="BG178" s="178">
        <f t="shared" si="230"/>
        <v>0.99528631475067064</v>
      </c>
      <c r="BI178" s="543">
        <f t="shared" si="269"/>
        <v>0.14831406201384839</v>
      </c>
      <c r="BJ178" s="543">
        <f t="shared" si="270"/>
        <v>7.8750000000000014E-2</v>
      </c>
      <c r="BK178" s="543">
        <f t="shared" si="271"/>
        <v>1.3990226821697533E-2</v>
      </c>
      <c r="BL178" s="543">
        <f t="shared" si="272"/>
        <v>2.8428578096277565E-2</v>
      </c>
      <c r="BM178">
        <f t="shared" si="273"/>
        <v>2.6099999999999999E-3</v>
      </c>
      <c r="BN178" s="470">
        <f t="shared" si="274"/>
        <v>272.09286693182349</v>
      </c>
      <c r="BO178" s="543">
        <f t="shared" si="275"/>
        <v>0.21760000000000002</v>
      </c>
      <c r="BR178" s="470">
        <f t="shared" si="276"/>
        <v>217.60000000000002</v>
      </c>
      <c r="BS178" s="543">
        <f t="shared" si="277"/>
        <v>5.3932386186853969E-2</v>
      </c>
      <c r="BT178" s="543">
        <f t="shared" si="278"/>
        <v>3.9623793933198842E-2</v>
      </c>
      <c r="BU178" s="543">
        <f t="shared" si="279"/>
        <v>0</v>
      </c>
      <c r="BV178" s="543">
        <f t="shared" si="280"/>
        <v>7.3624060150375981E-2</v>
      </c>
      <c r="BW178" s="470">
        <f t="shared" si="281"/>
        <v>167.18024027042881</v>
      </c>
      <c r="BX178" s="178">
        <f t="shared" si="282"/>
        <v>0.65687310720225223</v>
      </c>
      <c r="BY178" s="6">
        <f t="shared" si="283"/>
        <v>6.5280000000000005</v>
      </c>
      <c r="BZ178" s="178">
        <f t="shared" si="284"/>
        <v>0.90857554512079131</v>
      </c>
      <c r="CA178" s="6">
        <f t="shared" si="285"/>
        <v>90.857554512079133</v>
      </c>
      <c r="CD178" s="577">
        <f t="shared" si="313"/>
        <v>-50</v>
      </c>
      <c r="CE178">
        <f t="shared" si="314"/>
        <v>-50</v>
      </c>
    </row>
    <row r="179" spans="5:83" x14ac:dyDescent="0.2">
      <c r="E179" s="175">
        <v>69</v>
      </c>
      <c r="F179" s="222">
        <f t="shared" si="315"/>
        <v>0.55199999999999994</v>
      </c>
      <c r="G179" s="222"/>
      <c r="H179" s="222">
        <f t="shared" si="286"/>
        <v>6.6239999999999988</v>
      </c>
      <c r="I179" s="556">
        <f t="shared" si="287"/>
        <v>9</v>
      </c>
      <c r="J179" s="452">
        <f t="shared" si="288"/>
        <v>12.25</v>
      </c>
      <c r="K179" s="452">
        <f t="shared" si="289"/>
        <v>21.25</v>
      </c>
      <c r="L179" s="452"/>
      <c r="M179" s="222">
        <f t="shared" si="290"/>
        <v>0.57647058823529407</v>
      </c>
      <c r="N179" s="177">
        <f t="shared" si="291"/>
        <v>10.104088235294114</v>
      </c>
      <c r="O179" s="177">
        <f t="shared" si="231"/>
        <v>6.6239999999999988</v>
      </c>
      <c r="P179" s="222">
        <f t="shared" si="292"/>
        <v>0.84200735294117612</v>
      </c>
      <c r="Q179" s="222">
        <f t="shared" si="293"/>
        <v>12</v>
      </c>
      <c r="R179" s="222"/>
      <c r="S179" s="177">
        <f t="shared" si="294"/>
        <v>22.850119484894005</v>
      </c>
      <c r="T179" s="551">
        <f t="shared" si="295"/>
        <v>12</v>
      </c>
      <c r="U179" s="222">
        <f t="shared" si="296"/>
        <v>2.6878625134264231</v>
      </c>
      <c r="V179" s="222">
        <f t="shared" si="297"/>
        <v>2.0905597326649956</v>
      </c>
      <c r="W179" s="222">
        <f t="shared" si="298"/>
        <v>1.5359214362436702</v>
      </c>
      <c r="X179" s="202">
        <f t="shared" si="299"/>
        <v>350</v>
      </c>
      <c r="Y179" s="452">
        <f t="shared" si="265"/>
        <v>275.74939822476307</v>
      </c>
      <c r="AA179" s="222">
        <f t="shared" si="300"/>
        <v>2.1176470588235294</v>
      </c>
      <c r="AB179" s="178">
        <f t="shared" si="301"/>
        <v>1.2100840336134453</v>
      </c>
      <c r="AC179" s="178">
        <f t="shared" si="302"/>
        <v>0.4484429065743944</v>
      </c>
      <c r="AD179" s="178"/>
      <c r="AE179" s="178">
        <f t="shared" si="303"/>
        <v>0.46857142857142853</v>
      </c>
      <c r="AF179" s="560">
        <f>MAX(12000,F179/(0.5*AE179/1000000*Isw_min*Nps))/1000</f>
        <v>2873.2897085068412</v>
      </c>
      <c r="AG179" s="543">
        <f t="shared" si="304"/>
        <v>6.723999999999998E-2</v>
      </c>
      <c r="AI179" s="178">
        <f t="shared" si="305"/>
        <v>2.3494680248941462</v>
      </c>
      <c r="AJ179" s="178">
        <f t="shared" si="306"/>
        <v>2.6878625134264231</v>
      </c>
      <c r="AK179" s="178">
        <f t="shared" si="307"/>
        <v>2.5836018617973506</v>
      </c>
      <c r="AM179" s="560">
        <f t="shared" si="308"/>
        <v>551.99999999999989</v>
      </c>
      <c r="AN179" s="470">
        <f t="shared" si="309"/>
        <v>275.74939822476307</v>
      </c>
      <c r="AP179">
        <f t="shared" si="310"/>
        <v>551.99999999999989</v>
      </c>
      <c r="AQ179">
        <f t="shared" si="311"/>
        <v>275.74939822476307</v>
      </c>
      <c r="AS179" s="6">
        <f t="shared" si="232"/>
        <v>3.6264811689086662</v>
      </c>
      <c r="AT179" s="6">
        <f t="shared" si="312"/>
        <v>2.0905597326649956</v>
      </c>
      <c r="AU179" s="6">
        <f t="shared" si="266"/>
        <v>1.5359214362436706</v>
      </c>
      <c r="AV179" s="6"/>
      <c r="AW179" s="178">
        <f t="shared" si="267"/>
        <v>0.57647058823529407</v>
      </c>
      <c r="AX179" s="178">
        <f t="shared" si="228"/>
        <v>6.9726315789473672</v>
      </c>
      <c r="AY179" s="178">
        <f t="shared" si="229"/>
        <v>0.56919441460794851</v>
      </c>
      <c r="AZ179" s="178">
        <f t="shared" si="233"/>
        <v>12.249999999999996</v>
      </c>
      <c r="BA179" s="470">
        <f>L*Isw_max^2/(2*Vout_ripple*Vout)*1000000000*((1+M179)/2)^2</f>
        <v>25.385458958093036</v>
      </c>
      <c r="BB179" s="470">
        <f>L*F179^2/(2*Cout*Vout*Nps^2)*1000000000*((1+M179)/(1-M179))^2+F179*RCoutEsr</f>
        <v>27.854214342001566</v>
      </c>
      <c r="BC179" s="6">
        <f t="shared" si="268"/>
        <v>1.762866552944002</v>
      </c>
      <c r="BD179" s="470">
        <f>((BY179/I179/Efficiency)*AU179/Cin+(BY179/I179/Efficiency)*RCinEsr)*1000</f>
        <v>121.31770285003593</v>
      </c>
      <c r="BF179" s="178">
        <f t="shared" si="234"/>
        <v>1.1782433579033669</v>
      </c>
      <c r="BG179" s="178">
        <f t="shared" si="230"/>
        <v>1.009922878202886</v>
      </c>
      <c r="BI179" s="543">
        <f t="shared" si="269"/>
        <v>0.15270831514877417</v>
      </c>
      <c r="BJ179" s="543">
        <f t="shared" si="270"/>
        <v>7.8750000000000014E-2</v>
      </c>
      <c r="BK179" s="543">
        <f t="shared" si="271"/>
        <v>1.3787469911238153E-2</v>
      </c>
      <c r="BL179" s="543">
        <f t="shared" si="272"/>
        <v>2.8016569718070653E-2</v>
      </c>
      <c r="BM179">
        <f t="shared" si="273"/>
        <v>2.6099999999999999E-3</v>
      </c>
      <c r="BN179" s="470">
        <f t="shared" si="274"/>
        <v>275.87235477808304</v>
      </c>
      <c r="BO179" s="543">
        <f t="shared" si="275"/>
        <v>0.2208</v>
      </c>
      <c r="BR179" s="470">
        <f t="shared" si="276"/>
        <v>220.79999999999998</v>
      </c>
      <c r="BS179" s="543">
        <f t="shared" si="277"/>
        <v>5.5530296417736061E-2</v>
      </c>
      <c r="BT179" s="543">
        <f t="shared" si="278"/>
        <v>4.0797768796704048E-2</v>
      </c>
      <c r="BU179" s="543">
        <f t="shared" si="279"/>
        <v>0</v>
      </c>
      <c r="BV179" s="543">
        <f t="shared" si="280"/>
        <v>7.4706766917293235E-2</v>
      </c>
      <c r="BW179" s="470">
        <f t="shared" si="281"/>
        <v>171.03483213173334</v>
      </c>
      <c r="BX179" s="178">
        <f t="shared" si="282"/>
        <v>0.66770718690981645</v>
      </c>
      <c r="BY179" s="6">
        <f t="shared" si="283"/>
        <v>6.6239999999999988</v>
      </c>
      <c r="BZ179" s="178">
        <f t="shared" si="284"/>
        <v>0.90842923751676496</v>
      </c>
      <c r="CA179" s="6">
        <f t="shared" si="285"/>
        <v>90.842923751676494</v>
      </c>
      <c r="CD179" s="577">
        <f t="shared" si="313"/>
        <v>-50</v>
      </c>
      <c r="CE179">
        <f t="shared" si="314"/>
        <v>-50</v>
      </c>
    </row>
    <row r="180" spans="5:83" x14ac:dyDescent="0.2">
      <c r="E180" s="175">
        <v>70</v>
      </c>
      <c r="F180" s="222">
        <f t="shared" si="315"/>
        <v>0.55999999999999994</v>
      </c>
      <c r="G180" s="222"/>
      <c r="H180" s="222">
        <f t="shared" si="286"/>
        <v>6.7199999999999989</v>
      </c>
      <c r="I180" s="556">
        <f t="shared" si="287"/>
        <v>9</v>
      </c>
      <c r="J180" s="452">
        <f t="shared" si="288"/>
        <v>12.25</v>
      </c>
      <c r="K180" s="452">
        <f t="shared" si="289"/>
        <v>21.25</v>
      </c>
      <c r="L180" s="452"/>
      <c r="M180" s="222">
        <f t="shared" si="290"/>
        <v>0.57647058823529407</v>
      </c>
      <c r="N180" s="177">
        <f t="shared" si="291"/>
        <v>10.104088235294114</v>
      </c>
      <c r="O180" s="177">
        <f t="shared" si="231"/>
        <v>6.7199999999999989</v>
      </c>
      <c r="P180" s="222">
        <f t="shared" si="292"/>
        <v>0.84200735294117612</v>
      </c>
      <c r="Q180" s="222">
        <f t="shared" si="293"/>
        <v>12</v>
      </c>
      <c r="R180" s="222"/>
      <c r="S180" s="177">
        <f t="shared" si="294"/>
        <v>22.398451682235301</v>
      </c>
      <c r="T180" s="551">
        <f t="shared" si="295"/>
        <v>12</v>
      </c>
      <c r="U180" s="222">
        <f t="shared" si="296"/>
        <v>2.7268170426065166</v>
      </c>
      <c r="V180" s="222">
        <f t="shared" si="297"/>
        <v>2.1208576998050681</v>
      </c>
      <c r="W180" s="222">
        <f t="shared" si="298"/>
        <v>1.5581811672037236</v>
      </c>
      <c r="X180" s="202">
        <f t="shared" si="299"/>
        <v>350</v>
      </c>
      <c r="Y180" s="452">
        <f t="shared" si="265"/>
        <v>271.81012110726641</v>
      </c>
      <c r="AA180" s="222">
        <f t="shared" si="300"/>
        <v>2.1176470588235294</v>
      </c>
      <c r="AB180" s="178">
        <f t="shared" si="301"/>
        <v>1.2100840336134453</v>
      </c>
      <c r="AC180" s="178">
        <f t="shared" si="302"/>
        <v>0.4484429065743944</v>
      </c>
      <c r="AD180" s="178"/>
      <c r="AE180" s="178">
        <f t="shared" si="303"/>
        <v>0.46857142857142853</v>
      </c>
      <c r="AF180" s="560">
        <f>MAX(12000,F180/(0.5*AE180/1000000*Isw_min*Nps))/1000</f>
        <v>2914.9315883402742</v>
      </c>
      <c r="AG180" s="543">
        <f t="shared" si="304"/>
        <v>6.723999999999998E-2</v>
      </c>
      <c r="AI180" s="178">
        <f t="shared" si="305"/>
        <v>2.3664319132398464</v>
      </c>
      <c r="AJ180" s="178">
        <f t="shared" si="306"/>
        <v>2.7268170426065166</v>
      </c>
      <c r="AK180" s="178">
        <f t="shared" si="307"/>
        <v>2.6124570685974198</v>
      </c>
      <c r="AM180" s="560">
        <f t="shared" si="308"/>
        <v>559.99999999999989</v>
      </c>
      <c r="AN180" s="470">
        <f t="shared" si="309"/>
        <v>271.81012110726641</v>
      </c>
      <c r="AP180">
        <f t="shared" si="310"/>
        <v>559.99999999999989</v>
      </c>
      <c r="AQ180">
        <f t="shared" si="311"/>
        <v>271.81012110726641</v>
      </c>
      <c r="AS180" s="6">
        <f t="shared" si="232"/>
        <v>3.6790388670087921</v>
      </c>
      <c r="AT180" s="6">
        <f t="shared" si="312"/>
        <v>2.1208576998050681</v>
      </c>
      <c r="AU180" s="6">
        <f t="shared" si="266"/>
        <v>1.558181167203724</v>
      </c>
      <c r="AV180" s="6"/>
      <c r="AW180" s="178">
        <f t="shared" si="267"/>
        <v>0.57647058823529407</v>
      </c>
      <c r="AX180" s="178">
        <f t="shared" si="228"/>
        <v>7.0736842105263174</v>
      </c>
      <c r="AY180" s="178">
        <f t="shared" si="229"/>
        <v>0.57744360902255654</v>
      </c>
      <c r="AZ180" s="178">
        <f t="shared" si="233"/>
        <v>12.25</v>
      </c>
      <c r="BA180" s="470">
        <f>L*Isw_max^2/(2*Vout_ripple*Vout)*1000000000*((1+M180)/2)^2</f>
        <v>25.385458958093036</v>
      </c>
      <c r="BB180" s="470">
        <f>L*F180^2/(2*Cout*Vout*Nps^2)*1000000000*((1+M180)/(1-M180))^2+F180*RCoutEsr</f>
        <v>28.643085544173005</v>
      </c>
      <c r="BC180" s="6">
        <f t="shared" si="268"/>
        <v>1.8143344065166167</v>
      </c>
      <c r="BD180" s="470">
        <f>((BY180/I180/Efficiency)*AU180/Cin+(BY180/I180/Efficiency)*RCinEsr)*1000</f>
        <v>124.82546717671374</v>
      </c>
      <c r="BF180" s="178">
        <f t="shared" si="234"/>
        <v>1.1953193485976188</v>
      </c>
      <c r="BG180" s="178">
        <f t="shared" si="230"/>
        <v>1.0245594416551018</v>
      </c>
      <c r="BI180" s="543">
        <f t="shared" si="269"/>
        <v>0.15716671796450193</v>
      </c>
      <c r="BJ180" s="543">
        <f t="shared" si="270"/>
        <v>7.8750000000000001E-2</v>
      </c>
      <c r="BK180" s="543">
        <f t="shared" si="271"/>
        <v>1.359050605536332E-2</v>
      </c>
      <c r="BL180" s="543">
        <f t="shared" si="272"/>
        <v>2.7616333007812497E-2</v>
      </c>
      <c r="BM180">
        <f t="shared" si="273"/>
        <v>2.6099999999999999E-3</v>
      </c>
      <c r="BN180" s="470">
        <f t="shared" si="274"/>
        <v>279.73355702767776</v>
      </c>
      <c r="BO180" s="543">
        <f t="shared" si="275"/>
        <v>0.22399999999999998</v>
      </c>
      <c r="BR180" s="470">
        <f t="shared" si="276"/>
        <v>223.99999999999997</v>
      </c>
      <c r="BS180" s="543">
        <f t="shared" si="277"/>
        <v>5.7151533805273429E-2</v>
      </c>
      <c r="BT180" s="543">
        <f t="shared" si="278"/>
        <v>4.1988881979384558E-2</v>
      </c>
      <c r="BU180" s="543">
        <f t="shared" si="279"/>
        <v>0</v>
      </c>
      <c r="BV180" s="543">
        <f t="shared" si="280"/>
        <v>7.5789473684210545E-2</v>
      </c>
      <c r="BW180" s="470">
        <f t="shared" si="281"/>
        <v>174.92988946886854</v>
      </c>
      <c r="BX180" s="178">
        <f t="shared" si="282"/>
        <v>0.6786634464965462</v>
      </c>
      <c r="BY180" s="6">
        <f t="shared" si="283"/>
        <v>6.7199999999999989</v>
      </c>
      <c r="BZ180" s="178">
        <f t="shared" si="284"/>
        <v>0.908272155990835</v>
      </c>
      <c r="CA180" s="6">
        <f t="shared" si="285"/>
        <v>90.827215599083502</v>
      </c>
      <c r="CD180" s="577">
        <f t="shared" si="313"/>
        <v>-50</v>
      </c>
      <c r="CE180">
        <f t="shared" si="314"/>
        <v>-50</v>
      </c>
    </row>
    <row r="181" spans="5:83" x14ac:dyDescent="0.2">
      <c r="E181" s="175">
        <v>71</v>
      </c>
      <c r="F181" s="222">
        <f t="shared" si="315"/>
        <v>0.56799999999999995</v>
      </c>
      <c r="G181" s="222"/>
      <c r="H181" s="222">
        <f t="shared" si="286"/>
        <v>6.8159999999999989</v>
      </c>
      <c r="I181" s="556">
        <f t="shared" si="287"/>
        <v>9</v>
      </c>
      <c r="J181" s="452">
        <f t="shared" si="288"/>
        <v>12.25</v>
      </c>
      <c r="K181" s="452">
        <f t="shared" si="289"/>
        <v>21.25</v>
      </c>
      <c r="L181" s="452"/>
      <c r="M181" s="222">
        <f t="shared" si="290"/>
        <v>0.57647058823529407</v>
      </c>
      <c r="N181" s="177">
        <f t="shared" si="291"/>
        <v>10.104088235294114</v>
      </c>
      <c r="O181" s="177">
        <f t="shared" si="231"/>
        <v>6.8159999999999989</v>
      </c>
      <c r="P181" s="222">
        <f t="shared" si="292"/>
        <v>0.84200735294117612</v>
      </c>
      <c r="Q181" s="222">
        <f t="shared" si="293"/>
        <v>12</v>
      </c>
      <c r="R181" s="222"/>
      <c r="S181" s="177">
        <f t="shared" si="294"/>
        <v>21.959582271439228</v>
      </c>
      <c r="T181" s="551">
        <f t="shared" si="295"/>
        <v>12</v>
      </c>
      <c r="U181" s="222">
        <f t="shared" si="296"/>
        <v>2.7657715717866096</v>
      </c>
      <c r="V181" s="222">
        <f t="shared" si="297"/>
        <v>2.1511556669451406</v>
      </c>
      <c r="W181" s="222">
        <f t="shared" si="298"/>
        <v>1.5804408981637768</v>
      </c>
      <c r="X181" s="202">
        <f t="shared" si="299"/>
        <v>350</v>
      </c>
      <c r="Y181" s="452">
        <f t="shared" si="265"/>
        <v>267.98180954237534</v>
      </c>
      <c r="AA181" s="222">
        <f t="shared" si="300"/>
        <v>2.1176470588235294</v>
      </c>
      <c r="AB181" s="178">
        <f t="shared" si="301"/>
        <v>1.2100840336134453</v>
      </c>
      <c r="AC181" s="178">
        <f t="shared" si="302"/>
        <v>0.4484429065743944</v>
      </c>
      <c r="AD181" s="178"/>
      <c r="AE181" s="178">
        <f t="shared" si="303"/>
        <v>0.46857142857142853</v>
      </c>
      <c r="AF181" s="560">
        <f>MAX(12000,F181/(0.5*AE181/1000000*Isw_min*Nps))/1000</f>
        <v>2956.5734681737063</v>
      </c>
      <c r="AG181" s="543">
        <f t="shared" si="304"/>
        <v>6.723999999999998E-2</v>
      </c>
      <c r="AI181" s="178">
        <f t="shared" si="305"/>
        <v>2.3832750575625967</v>
      </c>
      <c r="AJ181" s="178">
        <f t="shared" si="306"/>
        <v>2.7657715717866096</v>
      </c>
      <c r="AK181" s="178">
        <f t="shared" si="307"/>
        <v>2.6413122753974889</v>
      </c>
      <c r="AM181" s="560">
        <f t="shared" si="308"/>
        <v>568</v>
      </c>
      <c r="AN181" s="470">
        <f t="shared" si="309"/>
        <v>267.98180954237534</v>
      </c>
      <c r="AP181">
        <f t="shared" si="310"/>
        <v>568</v>
      </c>
      <c r="AQ181">
        <f t="shared" si="311"/>
        <v>267.98180954237534</v>
      </c>
      <c r="AS181" s="6">
        <f t="shared" si="232"/>
        <v>3.7315965651089176</v>
      </c>
      <c r="AT181" s="6">
        <f t="shared" si="312"/>
        <v>2.1511556669451406</v>
      </c>
      <c r="AU181" s="6">
        <f t="shared" si="266"/>
        <v>1.580440898163777</v>
      </c>
      <c r="AV181" s="6"/>
      <c r="AW181" s="178">
        <f t="shared" si="267"/>
        <v>0.57647058823529407</v>
      </c>
      <c r="AX181" s="178">
        <f t="shared" si="228"/>
        <v>7.174736842105264</v>
      </c>
      <c r="AY181" s="178">
        <f t="shared" si="229"/>
        <v>0.58569280343716446</v>
      </c>
      <c r="AZ181" s="178">
        <f t="shared" si="233"/>
        <v>12.249999999999998</v>
      </c>
      <c r="BA181" s="470">
        <f>L*Isw_max^2/(2*Vout_ripple*Vout)*1000000000*((1+M181)/2)^2</f>
        <v>25.385458958093036</v>
      </c>
      <c r="BB181" s="470">
        <f>L*F181^2/(2*Cout*Vout*Nps^2)*1000000000*((1+M181)/(1-M181))^2+F181*RCoutEsr</f>
        <v>29.442962087382885</v>
      </c>
      <c r="BC181" s="6">
        <f t="shared" si="268"/>
        <v>1.8665428047449515</v>
      </c>
      <c r="BD181" s="470">
        <f>((BY181/I181/Efficiency)*AU181/Cin+(BY181/I181/Efficiency)*RCinEsr)*1000</f>
        <v>128.38321826765264</v>
      </c>
      <c r="BF181" s="178">
        <f t="shared" si="234"/>
        <v>1.2123953392918705</v>
      </c>
      <c r="BG181" s="178">
        <f t="shared" si="230"/>
        <v>1.0391960051073177</v>
      </c>
      <c r="BI181" s="543">
        <f t="shared" si="269"/>
        <v>0.16168927046103149</v>
      </c>
      <c r="BJ181" s="543">
        <f t="shared" si="270"/>
        <v>7.8750000000000001E-2</v>
      </c>
      <c r="BK181" s="543">
        <f t="shared" si="271"/>
        <v>1.3399090477118765E-2</v>
      </c>
      <c r="BL181" s="543">
        <f t="shared" si="272"/>
        <v>2.7227370571082748E-2</v>
      </c>
      <c r="BM181">
        <f t="shared" si="273"/>
        <v>2.6099999999999999E-3</v>
      </c>
      <c r="BN181" s="470">
        <f t="shared" si="274"/>
        <v>283.675731509233</v>
      </c>
      <c r="BO181" s="543">
        <f t="shared" si="275"/>
        <v>0.22719999999999999</v>
      </c>
      <c r="BR181" s="470">
        <f t="shared" si="276"/>
        <v>227.2</v>
      </c>
      <c r="BS181" s="543">
        <f t="shared" si="277"/>
        <v>5.8796098349465996E-2</v>
      </c>
      <c r="BT181" s="543">
        <f t="shared" si="278"/>
        <v>4.3197133481240331E-2</v>
      </c>
      <c r="BU181" s="543">
        <f t="shared" si="279"/>
        <v>0</v>
      </c>
      <c r="BV181" s="543">
        <f t="shared" si="280"/>
        <v>7.6872180451127842E-2</v>
      </c>
      <c r="BW181" s="470">
        <f t="shared" si="281"/>
        <v>178.86541228183418</v>
      </c>
      <c r="BX181" s="178">
        <f t="shared" si="282"/>
        <v>0.68974114379106721</v>
      </c>
      <c r="BY181" s="6">
        <f t="shared" si="283"/>
        <v>6.8159999999999989</v>
      </c>
      <c r="BZ181" s="178">
        <f t="shared" si="284"/>
        <v>0.9081048585905952</v>
      </c>
      <c r="CA181" s="6">
        <f t="shared" si="285"/>
        <v>90.810485859059526</v>
      </c>
      <c r="CD181" s="577">
        <f t="shared" si="313"/>
        <v>-50</v>
      </c>
      <c r="CE181">
        <f t="shared" si="314"/>
        <v>-50</v>
      </c>
    </row>
    <row r="182" spans="5:83" x14ac:dyDescent="0.2">
      <c r="E182" s="175">
        <v>72</v>
      </c>
      <c r="F182" s="222">
        <f t="shared" si="315"/>
        <v>0.57599999999999996</v>
      </c>
      <c r="G182" s="222"/>
      <c r="H182" s="222">
        <f t="shared" si="286"/>
        <v>6.911999999999999</v>
      </c>
      <c r="I182" s="556">
        <f t="shared" si="287"/>
        <v>9</v>
      </c>
      <c r="J182" s="452">
        <f t="shared" si="288"/>
        <v>12.25</v>
      </c>
      <c r="K182" s="452">
        <f t="shared" si="289"/>
        <v>21.25</v>
      </c>
      <c r="L182" s="452"/>
      <c r="M182" s="222">
        <f t="shared" si="290"/>
        <v>0.57647058823529407</v>
      </c>
      <c r="N182" s="177">
        <f t="shared" si="291"/>
        <v>10.104088235294114</v>
      </c>
      <c r="O182" s="177">
        <f t="shared" si="231"/>
        <v>6.911999999999999</v>
      </c>
      <c r="P182" s="222">
        <f t="shared" si="292"/>
        <v>0.84200735294117612</v>
      </c>
      <c r="Q182" s="222">
        <f t="shared" si="293"/>
        <v>12</v>
      </c>
      <c r="R182" s="222"/>
      <c r="S182" s="177">
        <f t="shared" si="294"/>
        <v>21.532979156473509</v>
      </c>
      <c r="T182" s="551">
        <f t="shared" si="295"/>
        <v>12</v>
      </c>
      <c r="U182" s="222">
        <f t="shared" si="296"/>
        <v>2.8047261009667026</v>
      </c>
      <c r="V182" s="222">
        <f t="shared" si="297"/>
        <v>2.1814536340852131</v>
      </c>
      <c r="W182" s="222">
        <f t="shared" si="298"/>
        <v>1.6027006291238302</v>
      </c>
      <c r="X182" s="202">
        <f t="shared" si="299"/>
        <v>350</v>
      </c>
      <c r="Y182" s="452">
        <f t="shared" si="265"/>
        <v>264.25983996539793</v>
      </c>
      <c r="AA182" s="222">
        <f t="shared" si="300"/>
        <v>2.1176470588235294</v>
      </c>
      <c r="AB182" s="178">
        <f t="shared" si="301"/>
        <v>1.2100840336134453</v>
      </c>
      <c r="AC182" s="178">
        <f t="shared" si="302"/>
        <v>0.4484429065743944</v>
      </c>
      <c r="AD182" s="178"/>
      <c r="AE182" s="178">
        <f t="shared" si="303"/>
        <v>0.46857142857142853</v>
      </c>
      <c r="AF182" s="560">
        <f>MAX(12000,F182/(0.5*AE182/1000000*Isw_min*Nps))/1000</f>
        <v>2998.2153480071388</v>
      </c>
      <c r="AG182" s="543">
        <f t="shared" si="304"/>
        <v>6.723999999999998E-2</v>
      </c>
      <c r="AI182" s="178">
        <f t="shared" si="305"/>
        <v>2.4</v>
      </c>
      <c r="AJ182" s="178">
        <f t="shared" si="306"/>
        <v>2.8047261009667026</v>
      </c>
      <c r="AK182" s="178">
        <f t="shared" si="307"/>
        <v>2.6701674821975576</v>
      </c>
      <c r="AM182" s="560">
        <f t="shared" si="308"/>
        <v>576</v>
      </c>
      <c r="AN182" s="470">
        <f t="shared" si="309"/>
        <v>264.25983996539793</v>
      </c>
      <c r="AP182">
        <f t="shared" si="310"/>
        <v>576</v>
      </c>
      <c r="AQ182">
        <f t="shared" si="311"/>
        <v>264.25983996539793</v>
      </c>
      <c r="AS182" s="6">
        <f t="shared" si="232"/>
        <v>3.7841542632090426</v>
      </c>
      <c r="AT182" s="6">
        <f t="shared" si="312"/>
        <v>2.1814536340852131</v>
      </c>
      <c r="AU182" s="6">
        <f t="shared" si="266"/>
        <v>1.6027006291238295</v>
      </c>
      <c r="AV182" s="6"/>
      <c r="AW182" s="178">
        <f t="shared" si="267"/>
        <v>0.57647058823529418</v>
      </c>
      <c r="AX182" s="178">
        <f t="shared" si="228"/>
        <v>7.2757894736842124</v>
      </c>
      <c r="AY182" s="178">
        <f t="shared" si="229"/>
        <v>0.59394199785177226</v>
      </c>
      <c r="AZ182" s="178">
        <f t="shared" si="233"/>
        <v>12.250000000000004</v>
      </c>
      <c r="BA182" s="470">
        <f>L*Isw_max^2/(2*Vout_ripple*Vout)*1000000000*((1+M182)/2)^2</f>
        <v>25.385458958093036</v>
      </c>
      <c r="BB182" s="470">
        <f>L*F182^2/(2*Cout*Vout*Nps^2)*1000000000*((1+M182)/(1-M182))^2+F182*RCoutEsr</f>
        <v>30.253843971631198</v>
      </c>
      <c r="BC182" s="6">
        <f t="shared" si="268"/>
        <v>1.9194917476290072</v>
      </c>
      <c r="BD182" s="470">
        <f>((BY182/I182/Efficiency)*AU182/Cin+(BY182/I182/Efficiency)*RCinEsr)*1000</f>
        <v>131.99095612285274</v>
      </c>
      <c r="BF182" s="178">
        <f t="shared" si="234"/>
        <v>1.2294713299861222</v>
      </c>
      <c r="BG182" s="178">
        <f t="shared" si="230"/>
        <v>1.0538325685595331</v>
      </c>
      <c r="BI182" s="543">
        <f t="shared" si="269"/>
        <v>0.16627597263836286</v>
      </c>
      <c r="BJ182" s="543">
        <f t="shared" si="270"/>
        <v>7.8750000000000014E-2</v>
      </c>
      <c r="BK182" s="543">
        <f t="shared" si="271"/>
        <v>1.3212991998269896E-2</v>
      </c>
      <c r="BL182" s="543">
        <f t="shared" si="272"/>
        <v>2.6849212646484374E-2</v>
      </c>
      <c r="BM182">
        <f t="shared" si="273"/>
        <v>2.6099999999999999E-3</v>
      </c>
      <c r="BN182" s="470">
        <f t="shared" si="274"/>
        <v>287.69817728311716</v>
      </c>
      <c r="BO182" s="543">
        <f t="shared" si="275"/>
        <v>0.23039999999999999</v>
      </c>
      <c r="BR182" s="470">
        <f t="shared" si="276"/>
        <v>230.4</v>
      </c>
      <c r="BS182" s="543">
        <f t="shared" si="277"/>
        <v>6.0463990050313762E-2</v>
      </c>
      <c r="BT182" s="543">
        <f t="shared" si="278"/>
        <v>4.4422523302271325E-2</v>
      </c>
      <c r="BU182" s="543">
        <f t="shared" si="279"/>
        <v>0</v>
      </c>
      <c r="BV182" s="543">
        <f t="shared" si="280"/>
        <v>7.7954887218045138E-2</v>
      </c>
      <c r="BW182" s="470">
        <f t="shared" si="281"/>
        <v>182.84140057063021</v>
      </c>
      <c r="BX182" s="178">
        <f t="shared" si="282"/>
        <v>0.70093957785374739</v>
      </c>
      <c r="BY182" s="6">
        <f t="shared" si="283"/>
        <v>6.911999999999999</v>
      </c>
      <c r="BZ182" s="178">
        <f t="shared" si="284"/>
        <v>0.90792786798245451</v>
      </c>
      <c r="CA182" s="6">
        <f t="shared" si="285"/>
        <v>90.792786798245444</v>
      </c>
      <c r="CD182" s="577">
        <f t="shared" si="313"/>
        <v>-50</v>
      </c>
      <c r="CE182">
        <f t="shared" si="314"/>
        <v>-50</v>
      </c>
    </row>
    <row r="183" spans="5:83" x14ac:dyDescent="0.2">
      <c r="E183" s="175">
        <v>73</v>
      </c>
      <c r="F183" s="222">
        <f t="shared" si="315"/>
        <v>0.58399999999999996</v>
      </c>
      <c r="G183" s="222"/>
      <c r="H183" s="222">
        <f t="shared" si="286"/>
        <v>7.0079999999999991</v>
      </c>
      <c r="I183" s="556">
        <f t="shared" si="287"/>
        <v>9</v>
      </c>
      <c r="J183" s="452">
        <f t="shared" si="288"/>
        <v>12.25</v>
      </c>
      <c r="K183" s="452">
        <f t="shared" si="289"/>
        <v>21.25</v>
      </c>
      <c r="L183" s="452"/>
      <c r="M183" s="222">
        <f t="shared" si="290"/>
        <v>0.57647058823529407</v>
      </c>
      <c r="N183" s="177">
        <f t="shared" si="291"/>
        <v>10.104088235294114</v>
      </c>
      <c r="O183" s="177">
        <f t="shared" si="231"/>
        <v>7.0079999999999991</v>
      </c>
      <c r="P183" s="222">
        <f t="shared" si="292"/>
        <v>0.84200735294117612</v>
      </c>
      <c r="Q183" s="222">
        <f t="shared" si="293"/>
        <v>12</v>
      </c>
      <c r="R183" s="222"/>
      <c r="S183" s="177">
        <f t="shared" si="294"/>
        <v>21.118139420053918</v>
      </c>
      <c r="T183" s="551">
        <f t="shared" si="295"/>
        <v>12</v>
      </c>
      <c r="U183" s="222">
        <f t="shared" si="296"/>
        <v>2.8436806301467956</v>
      </c>
      <c r="V183" s="222">
        <f t="shared" si="297"/>
        <v>2.2117516012252856</v>
      </c>
      <c r="W183" s="222">
        <f t="shared" si="298"/>
        <v>1.6249603600838833</v>
      </c>
      <c r="X183" s="202">
        <f t="shared" si="299"/>
        <v>350</v>
      </c>
      <c r="Y183" s="452">
        <f t="shared" si="265"/>
        <v>260.63984215765271</v>
      </c>
      <c r="AA183" s="222">
        <f t="shared" si="300"/>
        <v>2.1176470588235294</v>
      </c>
      <c r="AB183" s="178">
        <f t="shared" si="301"/>
        <v>1.2100840336134453</v>
      </c>
      <c r="AC183" s="178">
        <f t="shared" si="302"/>
        <v>0.4484429065743944</v>
      </c>
      <c r="AD183" s="178"/>
      <c r="AE183" s="178">
        <f t="shared" si="303"/>
        <v>0.46857142857142853</v>
      </c>
      <c r="AF183" s="560">
        <f>MAX(12000,F183/(0.5*AE183/1000000*Isw_min*Nps))/1000</f>
        <v>3039.8572278405718</v>
      </c>
      <c r="AG183" s="543">
        <f t="shared" si="304"/>
        <v>6.723999999999998E-2</v>
      </c>
      <c r="AI183" s="178">
        <f t="shared" si="305"/>
        <v>2.4166091947189146</v>
      </c>
      <c r="AJ183" s="178">
        <f t="shared" si="306"/>
        <v>2.8436806301467956</v>
      </c>
      <c r="AK183" s="178">
        <f t="shared" si="307"/>
        <v>2.6990226889976263</v>
      </c>
      <c r="AM183" s="560">
        <f t="shared" si="308"/>
        <v>584</v>
      </c>
      <c r="AN183" s="470">
        <f t="shared" si="309"/>
        <v>260.63984215765271</v>
      </c>
      <c r="AP183">
        <f t="shared" si="310"/>
        <v>584</v>
      </c>
      <c r="AQ183">
        <f t="shared" si="311"/>
        <v>260.63984215765271</v>
      </c>
      <c r="AS183" s="6">
        <f t="shared" si="232"/>
        <v>3.8367119613091689</v>
      </c>
      <c r="AT183" s="6">
        <f t="shared" si="312"/>
        <v>2.2117516012252856</v>
      </c>
      <c r="AU183" s="6">
        <f t="shared" si="266"/>
        <v>1.6249603600838833</v>
      </c>
      <c r="AV183" s="6"/>
      <c r="AW183" s="178">
        <f t="shared" si="267"/>
        <v>0.57647058823529407</v>
      </c>
      <c r="AX183" s="178">
        <f t="shared" si="228"/>
        <v>7.3768421052631581</v>
      </c>
      <c r="AY183" s="178">
        <f t="shared" si="229"/>
        <v>0.60219119226638029</v>
      </c>
      <c r="AZ183" s="178">
        <f t="shared" si="233"/>
        <v>12.25</v>
      </c>
      <c r="BA183" s="470">
        <f>L*Isw_max^2/(2*Vout_ripple*Vout)*1000000000*((1+M183)/2)^2</f>
        <v>25.385458958093036</v>
      </c>
      <c r="BB183" s="470">
        <f>L*F183^2/(2*Cout*Vout*Nps^2)*1000000000*((1+M183)/(1-M183))^2+F183*RCoutEsr</f>
        <v>31.075731196917946</v>
      </c>
      <c r="BC183" s="6">
        <f t="shared" si="268"/>
        <v>1.9731812351687856</v>
      </c>
      <c r="BD183" s="470">
        <f>((BY183/I183/Efficiency)*AU183/Cin+(BY183/I183/Efficiency)*RCinEsr)*1000</f>
        <v>135.6486807423141</v>
      </c>
      <c r="BF183" s="178">
        <f t="shared" si="234"/>
        <v>1.2465473206803737</v>
      </c>
      <c r="BG183" s="178">
        <f t="shared" si="230"/>
        <v>1.068469132011749</v>
      </c>
      <c r="BI183" s="543">
        <f t="shared" si="269"/>
        <v>0.17092682449649602</v>
      </c>
      <c r="BJ183" s="543">
        <f t="shared" si="270"/>
        <v>7.8749999999999987E-2</v>
      </c>
      <c r="BK183" s="543">
        <f t="shared" si="271"/>
        <v>1.3031992107882636E-2</v>
      </c>
      <c r="BL183" s="543">
        <f t="shared" si="272"/>
        <v>2.6481415212970889E-2</v>
      </c>
      <c r="BM183">
        <f t="shared" si="273"/>
        <v>2.6099999999999999E-3</v>
      </c>
      <c r="BN183" s="470">
        <f t="shared" si="274"/>
        <v>291.80023181734947</v>
      </c>
      <c r="BO183" s="543">
        <f t="shared" si="275"/>
        <v>0.2336</v>
      </c>
      <c r="BR183" s="470">
        <f t="shared" si="276"/>
        <v>233.6</v>
      </c>
      <c r="BS183" s="543">
        <f t="shared" si="277"/>
        <v>6.2155208907816735E-2</v>
      </c>
      <c r="BT183" s="543">
        <f t="shared" si="278"/>
        <v>4.5665051442477608E-2</v>
      </c>
      <c r="BU183" s="543">
        <f t="shared" si="279"/>
        <v>0</v>
      </c>
      <c r="BV183" s="543">
        <f t="shared" si="280"/>
        <v>7.903759398496242E-2</v>
      </c>
      <c r="BW183" s="470">
        <f t="shared" si="281"/>
        <v>186.85785433525675</v>
      </c>
      <c r="BX183" s="178">
        <f t="shared" si="282"/>
        <v>0.71225808615260633</v>
      </c>
      <c r="BY183" s="6">
        <f t="shared" si="283"/>
        <v>7.0079999999999991</v>
      </c>
      <c r="BZ183" s="178">
        <f t="shared" si="284"/>
        <v>0.9077416741507458</v>
      </c>
      <c r="CA183" s="6">
        <f t="shared" si="285"/>
        <v>90.774167415074587</v>
      </c>
      <c r="CD183" s="577">
        <f t="shared" si="313"/>
        <v>-50</v>
      </c>
      <c r="CE183">
        <f t="shared" si="314"/>
        <v>-50</v>
      </c>
    </row>
    <row r="184" spans="5:83" x14ac:dyDescent="0.2">
      <c r="E184" s="175">
        <v>74</v>
      </c>
      <c r="F184" s="222">
        <f t="shared" si="315"/>
        <v>0.59199999999999997</v>
      </c>
      <c r="G184" s="222"/>
      <c r="H184" s="222">
        <f t="shared" si="286"/>
        <v>7.1039999999999992</v>
      </c>
      <c r="I184" s="556">
        <f t="shared" si="287"/>
        <v>9</v>
      </c>
      <c r="J184" s="452">
        <f t="shared" si="288"/>
        <v>12.25</v>
      </c>
      <c r="K184" s="452">
        <f t="shared" si="289"/>
        <v>21.25</v>
      </c>
      <c r="L184" s="452"/>
      <c r="M184" s="222">
        <f t="shared" si="290"/>
        <v>0.57647058823529407</v>
      </c>
      <c r="N184" s="177">
        <f t="shared" si="291"/>
        <v>10.104088235294114</v>
      </c>
      <c r="O184" s="177">
        <f t="shared" si="231"/>
        <v>7.1039999999999992</v>
      </c>
      <c r="P184" s="222">
        <f t="shared" si="292"/>
        <v>0.84200735294117612</v>
      </c>
      <c r="Q184" s="222">
        <f t="shared" si="293"/>
        <v>12</v>
      </c>
      <c r="R184" s="222"/>
      <c r="S184" s="177">
        <f t="shared" si="294"/>
        <v>20.714587352621589</v>
      </c>
      <c r="T184" s="551">
        <f t="shared" si="295"/>
        <v>12</v>
      </c>
      <c r="U184" s="222">
        <f t="shared" si="296"/>
        <v>2.8826351593268891</v>
      </c>
      <c r="V184" s="222">
        <f t="shared" si="297"/>
        <v>2.2420495683653581</v>
      </c>
      <c r="W184" s="222">
        <f t="shared" si="298"/>
        <v>1.6472200910439367</v>
      </c>
      <c r="X184" s="202">
        <f t="shared" si="299"/>
        <v>350</v>
      </c>
      <c r="Y184" s="452">
        <f t="shared" si="265"/>
        <v>257.11768212849523</v>
      </c>
      <c r="AA184" s="222">
        <f t="shared" si="300"/>
        <v>2.1176470588235294</v>
      </c>
      <c r="AB184" s="178">
        <f t="shared" si="301"/>
        <v>1.2100840336134453</v>
      </c>
      <c r="AC184" s="178">
        <f t="shared" si="302"/>
        <v>0.4484429065743944</v>
      </c>
      <c r="AD184" s="178"/>
      <c r="AE184" s="178">
        <f t="shared" si="303"/>
        <v>0.46857142857142853</v>
      </c>
      <c r="AF184" s="560">
        <f>MAX(12000,F184/(0.5*AE184/1000000*Isw_min*Nps))/1000</f>
        <v>3081.4991076740039</v>
      </c>
      <c r="AG184" s="543">
        <f t="shared" si="304"/>
        <v>6.723999999999998E-2</v>
      </c>
      <c r="AI184" s="178">
        <f t="shared" si="305"/>
        <v>2.4331050121192876</v>
      </c>
      <c r="AJ184" s="178">
        <f t="shared" si="306"/>
        <v>2.8826351593268891</v>
      </c>
      <c r="AK184" s="178">
        <f t="shared" si="307"/>
        <v>2.7278778957976959</v>
      </c>
      <c r="AM184" s="560">
        <f t="shared" si="308"/>
        <v>592</v>
      </c>
      <c r="AN184" s="470">
        <f t="shared" si="309"/>
        <v>257.11768212849523</v>
      </c>
      <c r="AP184">
        <f t="shared" si="310"/>
        <v>592</v>
      </c>
      <c r="AQ184">
        <f t="shared" si="311"/>
        <v>257.11768212849523</v>
      </c>
      <c r="AS184" s="6">
        <f t="shared" si="232"/>
        <v>3.8892696594092948</v>
      </c>
      <c r="AT184" s="6">
        <f t="shared" si="312"/>
        <v>2.2420495683653581</v>
      </c>
      <c r="AU184" s="6">
        <f t="shared" si="266"/>
        <v>1.6472200910439367</v>
      </c>
      <c r="AV184" s="6"/>
      <c r="AW184" s="178">
        <f t="shared" si="267"/>
        <v>0.57647058823529407</v>
      </c>
      <c r="AX184" s="178">
        <f t="shared" si="228"/>
        <v>7.4778947368421074</v>
      </c>
      <c r="AY184" s="178">
        <f t="shared" si="229"/>
        <v>0.61044038668098832</v>
      </c>
      <c r="AZ184" s="178">
        <f t="shared" si="233"/>
        <v>12.25</v>
      </c>
      <c r="BA184" s="470">
        <f>L*Isw_max^2/(2*Vout_ripple*Vout)*1000000000*((1+M184)/2)^2</f>
        <v>25.385458958093036</v>
      </c>
      <c r="BB184" s="470">
        <f>L*F184^2/(2*Cout*Vout*Nps^2)*1000000000*((1+M184)/(1-M184))^2+F184*RCoutEsr</f>
        <v>31.908623763243142</v>
      </c>
      <c r="BC184" s="6">
        <f t="shared" si="268"/>
        <v>2.0276112673642843</v>
      </c>
      <c r="BD184" s="470">
        <f>((BY184/I184/Efficiency)*AU184/Cin+(BY184/I184/Efficiency)*RCinEsr)*1000</f>
        <v>139.35639212603655</v>
      </c>
      <c r="BF184" s="178">
        <f t="shared" si="234"/>
        <v>1.2636233113746256</v>
      </c>
      <c r="BG184" s="178">
        <f t="shared" si="230"/>
        <v>1.0831056954639648</v>
      </c>
      <c r="BI184" s="543">
        <f t="shared" si="269"/>
        <v>0.17564182603543113</v>
      </c>
      <c r="BJ184" s="543">
        <f t="shared" si="270"/>
        <v>7.8749999999999987E-2</v>
      </c>
      <c r="BK184" s="543">
        <f t="shared" si="271"/>
        <v>1.2855884106424761E-2</v>
      </c>
      <c r="BL184" s="543">
        <f t="shared" si="272"/>
        <v>2.6123558250633439E-2</v>
      </c>
      <c r="BM184">
        <f t="shared" si="273"/>
        <v>2.6099999999999999E-3</v>
      </c>
      <c r="BN184" s="470">
        <f t="shared" si="274"/>
        <v>295.98126839248926</v>
      </c>
      <c r="BO184" s="543">
        <f t="shared" si="275"/>
        <v>0.23680000000000001</v>
      </c>
      <c r="BR184" s="470">
        <f t="shared" si="276"/>
        <v>236.8</v>
      </c>
      <c r="BS184" s="543">
        <f t="shared" si="277"/>
        <v>6.3869754921974956E-2</v>
      </c>
      <c r="BT184" s="543">
        <f t="shared" si="278"/>
        <v>4.6924717901859161E-2</v>
      </c>
      <c r="BU184" s="543">
        <f t="shared" si="279"/>
        <v>0</v>
      </c>
      <c r="BV184" s="543">
        <f t="shared" si="280"/>
        <v>8.0120300751879731E-2</v>
      </c>
      <c r="BW184" s="470">
        <f t="shared" si="281"/>
        <v>190.91477357571384</v>
      </c>
      <c r="BX184" s="178">
        <f t="shared" si="282"/>
        <v>0.72369604196820314</v>
      </c>
      <c r="BY184" s="6">
        <f t="shared" si="283"/>
        <v>7.1039999999999992</v>
      </c>
      <c r="BZ184" s="178">
        <f t="shared" si="284"/>
        <v>0.90754673685742193</v>
      </c>
      <c r="CA184" s="6">
        <f t="shared" si="285"/>
        <v>90.754673685742191</v>
      </c>
      <c r="CD184" s="577">
        <f t="shared" si="313"/>
        <v>-50</v>
      </c>
      <c r="CE184">
        <f t="shared" si="314"/>
        <v>-50</v>
      </c>
    </row>
    <row r="185" spans="5:83" x14ac:dyDescent="0.2">
      <c r="E185" s="175">
        <v>75</v>
      </c>
      <c r="F185" s="222">
        <f t="shared" si="315"/>
        <v>0.60000000000000009</v>
      </c>
      <c r="G185" s="222"/>
      <c r="H185" s="222">
        <f t="shared" si="286"/>
        <v>7.2000000000000011</v>
      </c>
      <c r="I185" s="556">
        <f t="shared" si="287"/>
        <v>9</v>
      </c>
      <c r="J185" s="452">
        <f t="shared" si="288"/>
        <v>12.25</v>
      </c>
      <c r="K185" s="452">
        <f t="shared" si="289"/>
        <v>21.25</v>
      </c>
      <c r="L185" s="452"/>
      <c r="M185" s="222">
        <f t="shared" si="290"/>
        <v>0.57647058823529407</v>
      </c>
      <c r="N185" s="177">
        <f t="shared" si="291"/>
        <v>10.104088235294114</v>
      </c>
      <c r="O185" s="177">
        <f t="shared" si="231"/>
        <v>7.2000000000000011</v>
      </c>
      <c r="P185" s="222">
        <f t="shared" si="292"/>
        <v>0.84200735294117612</v>
      </c>
      <c r="Q185" s="222">
        <f t="shared" si="293"/>
        <v>12</v>
      </c>
      <c r="R185" s="222"/>
      <c r="S185" s="177">
        <f t="shared" si="294"/>
        <v>20.321872639014533</v>
      </c>
      <c r="T185" s="551">
        <f t="shared" si="295"/>
        <v>12</v>
      </c>
      <c r="U185" s="222">
        <f t="shared" si="296"/>
        <v>2.921589688506983</v>
      </c>
      <c r="V185" s="222">
        <f t="shared" si="297"/>
        <v>2.2723475355054314</v>
      </c>
      <c r="W185" s="222">
        <f t="shared" si="298"/>
        <v>1.6694798220039904</v>
      </c>
      <c r="X185" s="202">
        <f t="shared" si="299"/>
        <v>350</v>
      </c>
      <c r="Y185" s="452">
        <f t="shared" si="265"/>
        <v>253.68944636678188</v>
      </c>
      <c r="AA185" s="222">
        <f t="shared" si="300"/>
        <v>2.1176470588235294</v>
      </c>
      <c r="AB185" s="178">
        <f t="shared" si="301"/>
        <v>1.2100840336134453</v>
      </c>
      <c r="AC185" s="178">
        <f t="shared" si="302"/>
        <v>0.4484429065743944</v>
      </c>
      <c r="AD185" s="178"/>
      <c r="AE185" s="178">
        <f t="shared" si="303"/>
        <v>0.46857142857142853</v>
      </c>
      <c r="AF185" s="560">
        <f>MAX(12000,F185/(0.5*AE185/1000000*Isw_min*Nps))/1000</f>
        <v>3123.1409875074373</v>
      </c>
      <c r="AG185" s="543">
        <f t="shared" si="304"/>
        <v>6.723999999999998E-2</v>
      </c>
      <c r="AI185" s="178">
        <f t="shared" si="305"/>
        <v>2.4494897427831783</v>
      </c>
      <c r="AJ185" s="178">
        <f t="shared" si="306"/>
        <v>2.921589688506983</v>
      </c>
      <c r="AK185" s="178">
        <f t="shared" si="307"/>
        <v>2.7567331025977655</v>
      </c>
      <c r="AM185" s="560">
        <f t="shared" si="308"/>
        <v>600.00000000000011</v>
      </c>
      <c r="AN185" s="470">
        <f t="shared" si="309"/>
        <v>253.68944636678188</v>
      </c>
      <c r="AP185">
        <f t="shared" si="310"/>
        <v>600.00000000000011</v>
      </c>
      <c r="AQ185">
        <f t="shared" si="311"/>
        <v>253.68944636678188</v>
      </c>
      <c r="AS185" s="6">
        <f t="shared" si="232"/>
        <v>3.9418273575094216</v>
      </c>
      <c r="AT185" s="6">
        <f t="shared" si="312"/>
        <v>2.2723475355054314</v>
      </c>
      <c r="AU185" s="6">
        <f t="shared" si="266"/>
        <v>1.6694798220039901</v>
      </c>
      <c r="AV185" s="6"/>
      <c r="AW185" s="178">
        <f t="shared" si="267"/>
        <v>0.57647058823529418</v>
      </c>
      <c r="AX185" s="178">
        <f t="shared" si="228"/>
        <v>7.5789473684210558</v>
      </c>
      <c r="AY185" s="178">
        <f t="shared" si="229"/>
        <v>0.61868958109559635</v>
      </c>
      <c r="AZ185" s="178">
        <f t="shared" si="233"/>
        <v>12.25</v>
      </c>
      <c r="BA185" s="470">
        <f>L*Isw_max^2/(2*Vout_ripple*Vout)*1000000000*((1+M185)/2)^2</f>
        <v>25.385458958093036</v>
      </c>
      <c r="BB185" s="470">
        <f>L*F185^2/(2*Cout*Vout*Nps^2)*1000000000*((1+M185)/(1-M185))^2+F185*RCoutEsr</f>
        <v>32.752521670606775</v>
      </c>
      <c r="BC185" s="6">
        <f t="shared" si="268"/>
        <v>2.0827818442155044</v>
      </c>
      <c r="BD185" s="470">
        <f>((BY185/I185/Efficiency)*AU185/Cin+(BY185/I185/Efficiency)*RCinEsr)*1000</f>
        <v>143.11409027402024</v>
      </c>
      <c r="BF185" s="178">
        <f t="shared" si="234"/>
        <v>1.2806993020688777</v>
      </c>
      <c r="BG185" s="178">
        <f t="shared" si="230"/>
        <v>1.0977422589161807</v>
      </c>
      <c r="BI185" s="543">
        <f t="shared" si="269"/>
        <v>0.18042097725516815</v>
      </c>
      <c r="BJ185" s="543">
        <f t="shared" si="270"/>
        <v>7.8749999999999987E-2</v>
      </c>
      <c r="BK185" s="543">
        <f t="shared" si="271"/>
        <v>1.2684472318339093E-2</v>
      </c>
      <c r="BL185" s="543">
        <f t="shared" si="272"/>
        <v>2.5775244140624987E-2</v>
      </c>
      <c r="BM185">
        <f t="shared" si="273"/>
        <v>2.6099999999999999E-3</v>
      </c>
      <c r="BN185" s="470">
        <f t="shared" si="274"/>
        <v>300.24069371413219</v>
      </c>
      <c r="BO185" s="543">
        <f t="shared" si="275"/>
        <v>0.24000000000000005</v>
      </c>
      <c r="BR185" s="470">
        <f t="shared" si="276"/>
        <v>240.00000000000006</v>
      </c>
      <c r="BS185" s="543">
        <f t="shared" si="277"/>
        <v>6.5607628092788417E-2</v>
      </c>
      <c r="BT185" s="543">
        <f t="shared" si="278"/>
        <v>4.8201522680415963E-2</v>
      </c>
      <c r="BU185" s="543">
        <f t="shared" si="279"/>
        <v>0</v>
      </c>
      <c r="BV185" s="543">
        <f t="shared" si="280"/>
        <v>8.1203007518797027E-2</v>
      </c>
      <c r="BW185" s="470">
        <f t="shared" si="281"/>
        <v>195.0121582920014</v>
      </c>
      <c r="BX185" s="178">
        <f t="shared" si="282"/>
        <v>0.73525285200613366</v>
      </c>
      <c r="BY185" s="6">
        <f t="shared" si="283"/>
        <v>7.2000000000000011</v>
      </c>
      <c r="BZ185" s="178">
        <f t="shared" si="284"/>
        <v>0.90734348788643171</v>
      </c>
      <c r="CA185" s="6">
        <f t="shared" si="285"/>
        <v>90.734348788643175</v>
      </c>
      <c r="CD185" s="577">
        <f t="shared" si="313"/>
        <v>-50</v>
      </c>
      <c r="CE185">
        <f t="shared" si="314"/>
        <v>-50</v>
      </c>
    </row>
    <row r="186" spans="5:83" x14ac:dyDescent="0.2">
      <c r="E186" s="175">
        <v>76</v>
      </c>
      <c r="F186" s="222">
        <f t="shared" si="315"/>
        <v>0.6080000000000001</v>
      </c>
      <c r="G186" s="222"/>
      <c r="H186" s="222">
        <f t="shared" si="286"/>
        <v>7.2960000000000012</v>
      </c>
      <c r="I186" s="556">
        <f t="shared" si="287"/>
        <v>9</v>
      </c>
      <c r="J186" s="452">
        <f t="shared" si="288"/>
        <v>12.25</v>
      </c>
      <c r="K186" s="452">
        <f t="shared" si="289"/>
        <v>21.25</v>
      </c>
      <c r="L186" s="452"/>
      <c r="M186" s="222">
        <f t="shared" si="290"/>
        <v>0.57647058823529407</v>
      </c>
      <c r="N186" s="177">
        <f t="shared" si="291"/>
        <v>10.104088235294114</v>
      </c>
      <c r="O186" s="177">
        <f t="shared" si="231"/>
        <v>7.2960000000000012</v>
      </c>
      <c r="P186" s="222">
        <f t="shared" si="292"/>
        <v>0.84200735294117612</v>
      </c>
      <c r="Q186" s="222">
        <f t="shared" si="293"/>
        <v>12</v>
      </c>
      <c r="R186" s="222"/>
      <c r="S186" s="177">
        <f t="shared" si="294"/>
        <v>19.939568688309336</v>
      </c>
      <c r="T186" s="551">
        <f t="shared" si="295"/>
        <v>12</v>
      </c>
      <c r="U186" s="222">
        <f t="shared" si="296"/>
        <v>2.960544217687076</v>
      </c>
      <c r="V186" s="222">
        <f t="shared" si="297"/>
        <v>2.3026455026455039</v>
      </c>
      <c r="W186" s="222">
        <f t="shared" si="298"/>
        <v>1.6917395529640435</v>
      </c>
      <c r="X186" s="202">
        <f t="shared" si="299"/>
        <v>350</v>
      </c>
      <c r="Y186" s="452">
        <f t="shared" si="265"/>
        <v>250.35142733564004</v>
      </c>
      <c r="AA186" s="222">
        <f t="shared" si="300"/>
        <v>2.1176470588235294</v>
      </c>
      <c r="AB186" s="178">
        <f t="shared" si="301"/>
        <v>1.2100840336134453</v>
      </c>
      <c r="AC186" s="178">
        <f t="shared" si="302"/>
        <v>0.4484429065743944</v>
      </c>
      <c r="AD186" s="178"/>
      <c r="AE186" s="178">
        <f t="shared" si="303"/>
        <v>0.46857142857142853</v>
      </c>
      <c r="AF186" s="560">
        <f>MAX(12000,F186/(0.5*AE186/1000000*Isw_min*Nps))/1000</f>
        <v>3164.7828673408699</v>
      </c>
      <c r="AG186" s="543">
        <f t="shared" si="304"/>
        <v>6.723999999999998E-2</v>
      </c>
      <c r="AI186" s="178">
        <f t="shared" si="305"/>
        <v>2.465765601187591</v>
      </c>
      <c r="AJ186" s="178">
        <f t="shared" si="306"/>
        <v>2.960544217687076</v>
      </c>
      <c r="AK186" s="178">
        <f t="shared" si="307"/>
        <v>2.7855883093978342</v>
      </c>
      <c r="AM186" s="560">
        <f t="shared" si="308"/>
        <v>608.00000000000011</v>
      </c>
      <c r="AN186" s="470">
        <f t="shared" si="309"/>
        <v>250.35142733564004</v>
      </c>
      <c r="AP186">
        <f t="shared" si="310"/>
        <v>608.00000000000011</v>
      </c>
      <c r="AQ186">
        <f t="shared" si="311"/>
        <v>250.35142733564004</v>
      </c>
      <c r="AS186" s="6">
        <f t="shared" si="232"/>
        <v>3.994385055609547</v>
      </c>
      <c r="AT186" s="6">
        <f t="shared" si="312"/>
        <v>2.3026455026455039</v>
      </c>
      <c r="AU186" s="6">
        <f t="shared" si="266"/>
        <v>1.6917395529640431</v>
      </c>
      <c r="AV186" s="6"/>
      <c r="AW186" s="178">
        <f t="shared" si="267"/>
        <v>0.57647058823529418</v>
      </c>
      <c r="AX186" s="178">
        <f t="shared" si="228"/>
        <v>7.6800000000000033</v>
      </c>
      <c r="AY186" s="178">
        <f t="shared" si="229"/>
        <v>0.62693877551020427</v>
      </c>
      <c r="AZ186" s="178">
        <f t="shared" si="233"/>
        <v>12.250000000000002</v>
      </c>
      <c r="BA186" s="470">
        <f>L*Isw_max^2/(2*Vout_ripple*Vout)*1000000000*((1+M186)/2)^2</f>
        <v>25.385458958093036</v>
      </c>
      <c r="BB186" s="470">
        <f>L*F186^2/(2*Cout*Vout*Nps^2)*1000000000*((1+M186)/(1-M186))^2+F186*RCoutEsr</f>
        <v>33.607424919008842</v>
      </c>
      <c r="BC186" s="6">
        <f t="shared" si="268"/>
        <v>2.1386929657224449</v>
      </c>
      <c r="BD186" s="470">
        <f>((BY186/I186/Efficiency)*AU186/Cin+(BY186/I186/Efficiency)*RCinEsr)*1000</f>
        <v>146.92177518626502</v>
      </c>
      <c r="BF186" s="178">
        <f t="shared" si="234"/>
        <v>1.2977752927631294</v>
      </c>
      <c r="BG186" s="178">
        <f t="shared" si="230"/>
        <v>1.1123788223683966</v>
      </c>
      <c r="BI186" s="543">
        <f t="shared" si="269"/>
        <v>0.18526427815570687</v>
      </c>
      <c r="BJ186" s="543">
        <f t="shared" si="270"/>
        <v>7.8750000000000001E-2</v>
      </c>
      <c r="BK186" s="543">
        <f t="shared" si="271"/>
        <v>1.2517571366782001E-2</v>
      </c>
      <c r="BL186" s="543">
        <f t="shared" si="272"/>
        <v>2.543609619140624E-2</v>
      </c>
      <c r="BM186">
        <f t="shared" si="273"/>
        <v>2.6099999999999999E-3</v>
      </c>
      <c r="BN186" s="470">
        <f t="shared" si="274"/>
        <v>304.57794571389513</v>
      </c>
      <c r="BO186" s="543">
        <f t="shared" si="275"/>
        <v>0.24320000000000006</v>
      </c>
      <c r="BR186" s="470">
        <f t="shared" si="276"/>
        <v>243.20000000000005</v>
      </c>
      <c r="BS186" s="543">
        <f t="shared" si="277"/>
        <v>6.7368828420257043E-2</v>
      </c>
      <c r="BT186" s="543">
        <f t="shared" si="278"/>
        <v>4.9495465778148028E-2</v>
      </c>
      <c r="BU186" s="543">
        <f t="shared" si="279"/>
        <v>0</v>
      </c>
      <c r="BV186" s="543">
        <f t="shared" si="280"/>
        <v>8.2285714285714337E-2</v>
      </c>
      <c r="BW186" s="470">
        <f t="shared" si="281"/>
        <v>199.15000848411941</v>
      </c>
      <c r="BX186" s="178">
        <f t="shared" si="282"/>
        <v>0.7469279541980145</v>
      </c>
      <c r="BY186" s="6">
        <f t="shared" si="283"/>
        <v>7.2960000000000012</v>
      </c>
      <c r="BZ186" s="178">
        <f t="shared" si="284"/>
        <v>0.9071323330941744</v>
      </c>
      <c r="CA186" s="6">
        <f t="shared" si="285"/>
        <v>90.713233309417447</v>
      </c>
      <c r="CD186" s="577">
        <f t="shared" si="313"/>
        <v>-50</v>
      </c>
      <c r="CE186">
        <f t="shared" si="314"/>
        <v>-50</v>
      </c>
    </row>
    <row r="187" spans="5:83" x14ac:dyDescent="0.2">
      <c r="E187" s="175">
        <v>77</v>
      </c>
      <c r="F187" s="222">
        <f t="shared" si="315"/>
        <v>0.6160000000000001</v>
      </c>
      <c r="G187" s="222"/>
      <c r="H187" s="222">
        <f t="shared" si="286"/>
        <v>7.3920000000000012</v>
      </c>
      <c r="I187" s="556">
        <f t="shared" si="287"/>
        <v>9</v>
      </c>
      <c r="J187" s="452">
        <f t="shared" si="288"/>
        <v>12.25</v>
      </c>
      <c r="K187" s="452">
        <f t="shared" si="289"/>
        <v>21.25</v>
      </c>
      <c r="L187" s="452"/>
      <c r="M187" s="222">
        <f t="shared" si="290"/>
        <v>0.57647058823529407</v>
      </c>
      <c r="N187" s="177">
        <f t="shared" si="291"/>
        <v>10.104088235294114</v>
      </c>
      <c r="O187" s="177">
        <f t="shared" si="231"/>
        <v>7.3920000000000012</v>
      </c>
      <c r="P187" s="222">
        <f t="shared" si="292"/>
        <v>0.84200735294117612</v>
      </c>
      <c r="Q187" s="222">
        <f t="shared" si="293"/>
        <v>12</v>
      </c>
      <c r="R187" s="222"/>
      <c r="S187" s="177">
        <f t="shared" si="294"/>
        <v>19.567271093817773</v>
      </c>
      <c r="T187" s="551">
        <f t="shared" si="295"/>
        <v>12</v>
      </c>
      <c r="U187" s="222">
        <f t="shared" si="296"/>
        <v>2.999498746867169</v>
      </c>
      <c r="V187" s="222">
        <f t="shared" si="297"/>
        <v>2.332943469785576</v>
      </c>
      <c r="W187" s="222">
        <f t="shared" si="298"/>
        <v>1.7139992839240967</v>
      </c>
      <c r="X187" s="202">
        <f t="shared" si="299"/>
        <v>350</v>
      </c>
      <c r="Y187" s="452">
        <f t="shared" si="265"/>
        <v>247.1001100975148</v>
      </c>
      <c r="AA187" s="222">
        <f t="shared" si="300"/>
        <v>2.1176470588235294</v>
      </c>
      <c r="AB187" s="178">
        <f t="shared" si="301"/>
        <v>1.2100840336134453</v>
      </c>
      <c r="AC187" s="178">
        <f t="shared" si="302"/>
        <v>0.4484429065743944</v>
      </c>
      <c r="AD187" s="178"/>
      <c r="AE187" s="178">
        <f t="shared" si="303"/>
        <v>0.46857142857142853</v>
      </c>
      <c r="AF187" s="560">
        <f>MAX(12000,F187/(0.5*AE187/1000000*Isw_min*Nps))/1000</f>
        <v>3206.424747174302</v>
      </c>
      <c r="AG187" s="543">
        <f t="shared" si="304"/>
        <v>6.723999999999998E-2</v>
      </c>
      <c r="AI187" s="178">
        <f t="shared" si="305"/>
        <v>2.4819347291981715</v>
      </c>
      <c r="AJ187" s="178">
        <f t="shared" si="306"/>
        <v>2.999498746867169</v>
      </c>
      <c r="AK187" s="178">
        <f t="shared" si="307"/>
        <v>2.8144435161979029</v>
      </c>
      <c r="AM187" s="560">
        <f t="shared" si="308"/>
        <v>616.00000000000011</v>
      </c>
      <c r="AN187" s="470">
        <f t="shared" si="309"/>
        <v>247.1001100975148</v>
      </c>
      <c r="AP187">
        <f t="shared" si="310"/>
        <v>616.00000000000011</v>
      </c>
      <c r="AQ187">
        <f t="shared" si="311"/>
        <v>247.1001100975148</v>
      </c>
      <c r="AS187" s="6">
        <f t="shared" si="232"/>
        <v>4.0469427537096729</v>
      </c>
      <c r="AT187" s="6">
        <f t="shared" si="312"/>
        <v>2.332943469785576</v>
      </c>
      <c r="AU187" s="6">
        <f t="shared" si="266"/>
        <v>1.713999283924097</v>
      </c>
      <c r="AV187" s="6"/>
      <c r="AW187" s="178">
        <f t="shared" si="267"/>
        <v>0.57647058823529407</v>
      </c>
      <c r="AX187" s="178">
        <f t="shared" si="228"/>
        <v>7.7810526315789481</v>
      </c>
      <c r="AY187" s="178">
        <f t="shared" si="229"/>
        <v>0.6351879699248123</v>
      </c>
      <c r="AZ187" s="178">
        <f t="shared" si="233"/>
        <v>12.249999999999996</v>
      </c>
      <c r="BA187" s="470">
        <f>L*Isw_max^2/(2*Vout_ripple*Vout)*1000000000*((1+M187)/2)^2</f>
        <v>25.385458958093036</v>
      </c>
      <c r="BB187" s="470">
        <f>L*F187^2/(2*Cout*Vout*Nps^2)*1000000000*((1+M187)/(1-M187))^2+F187*RCoutEsr</f>
        <v>34.47333350844935</v>
      </c>
      <c r="BC187" s="6">
        <f t="shared" si="268"/>
        <v>2.1953446318851073</v>
      </c>
      <c r="BD187" s="470">
        <f>((BY187/I187/Efficiency)*AU187/Cin+(BY187/I187/Efficiency)*RCinEsr)*1000</f>
        <v>150.77944686277107</v>
      </c>
      <c r="BF187" s="178">
        <f t="shared" si="234"/>
        <v>1.3148512834573809</v>
      </c>
      <c r="BG187" s="178">
        <f t="shared" si="230"/>
        <v>1.1270153858206124</v>
      </c>
      <c r="BI187" s="543">
        <f t="shared" si="269"/>
        <v>0.19017172873704741</v>
      </c>
      <c r="BJ187" s="543">
        <f t="shared" si="270"/>
        <v>7.8749999999999987E-2</v>
      </c>
      <c r="BK187" s="543">
        <f t="shared" si="271"/>
        <v>1.2355005504875739E-2</v>
      </c>
      <c r="BL187" s="543">
        <f t="shared" si="272"/>
        <v>2.510575727982953E-2</v>
      </c>
      <c r="BM187">
        <f t="shared" si="273"/>
        <v>2.6099999999999999E-3</v>
      </c>
      <c r="BN187" s="470">
        <f t="shared" si="274"/>
        <v>308.9924915217527</v>
      </c>
      <c r="BO187" s="543">
        <f t="shared" si="275"/>
        <v>0.24640000000000006</v>
      </c>
      <c r="BR187" s="470">
        <f t="shared" si="276"/>
        <v>246.40000000000006</v>
      </c>
      <c r="BS187" s="543">
        <f t="shared" si="277"/>
        <v>6.9153355904380875E-2</v>
      </c>
      <c r="BT187" s="543">
        <f t="shared" si="278"/>
        <v>5.0806547195055361E-2</v>
      </c>
      <c r="BU187" s="543">
        <f t="shared" si="279"/>
        <v>0</v>
      </c>
      <c r="BV187" s="543">
        <f t="shared" si="280"/>
        <v>8.3368421052631592E-2</v>
      </c>
      <c r="BW187" s="470">
        <f t="shared" si="281"/>
        <v>203.32832415206784</v>
      </c>
      <c r="BX187" s="178">
        <f t="shared" si="282"/>
        <v>0.75872081567382055</v>
      </c>
      <c r="BY187" s="6">
        <f t="shared" si="283"/>
        <v>7.3920000000000012</v>
      </c>
      <c r="BZ187" s="178">
        <f t="shared" si="284"/>
        <v>0.90691365428505399</v>
      </c>
      <c r="CA187" s="6">
        <f t="shared" si="285"/>
        <v>90.691365428505406</v>
      </c>
      <c r="CD187" s="577">
        <f t="shared" si="313"/>
        <v>-50</v>
      </c>
      <c r="CE187">
        <f t="shared" si="314"/>
        <v>-50</v>
      </c>
    </row>
    <row r="188" spans="5:83" x14ac:dyDescent="0.2">
      <c r="E188" s="175">
        <v>78</v>
      </c>
      <c r="F188" s="222">
        <f t="shared" si="315"/>
        <v>0.62400000000000011</v>
      </c>
      <c r="G188" s="222"/>
      <c r="H188" s="222">
        <f t="shared" si="286"/>
        <v>7.4880000000000013</v>
      </c>
      <c r="I188" s="556">
        <f t="shared" si="287"/>
        <v>9</v>
      </c>
      <c r="J188" s="452">
        <f t="shared" si="288"/>
        <v>12.25</v>
      </c>
      <c r="K188" s="452">
        <f t="shared" si="289"/>
        <v>21.25</v>
      </c>
      <c r="L188" s="452"/>
      <c r="M188" s="222">
        <f t="shared" si="290"/>
        <v>0.57647058823529407</v>
      </c>
      <c r="N188" s="177">
        <f t="shared" si="291"/>
        <v>10.104088235294114</v>
      </c>
      <c r="O188" s="177">
        <f t="shared" si="231"/>
        <v>7.4880000000000013</v>
      </c>
      <c r="P188" s="222">
        <f t="shared" si="292"/>
        <v>0.84200735294117612</v>
      </c>
      <c r="Q188" s="222">
        <f t="shared" si="293"/>
        <v>12</v>
      </c>
      <c r="R188" s="222"/>
      <c r="S188" s="177">
        <f t="shared" si="294"/>
        <v>19.20459621155813</v>
      </c>
      <c r="T188" s="551">
        <f t="shared" si="295"/>
        <v>12</v>
      </c>
      <c r="U188" s="222">
        <f t="shared" si="296"/>
        <v>3.038453276047262</v>
      </c>
      <c r="V188" s="222">
        <f t="shared" si="297"/>
        <v>2.363241436925648</v>
      </c>
      <c r="W188" s="222">
        <f t="shared" si="298"/>
        <v>1.7362590148841497</v>
      </c>
      <c r="X188" s="202">
        <f t="shared" si="299"/>
        <v>350</v>
      </c>
      <c r="Y188" s="452">
        <f t="shared" si="265"/>
        <v>243.93215996805955</v>
      </c>
      <c r="AA188" s="222">
        <f t="shared" si="300"/>
        <v>2.1176470588235294</v>
      </c>
      <c r="AB188" s="178">
        <f t="shared" si="301"/>
        <v>1.2100840336134453</v>
      </c>
      <c r="AC188" s="178">
        <f t="shared" si="302"/>
        <v>0.4484429065743944</v>
      </c>
      <c r="AD188" s="178"/>
      <c r="AE188" s="178">
        <f t="shared" si="303"/>
        <v>0.46857142857142853</v>
      </c>
      <c r="AF188" s="560">
        <f>MAX(12000,F188/(0.5*AE188/1000000*Isw_min*Nps))/1000</f>
        <v>3248.0666270077345</v>
      </c>
      <c r="AG188" s="543">
        <f t="shared" si="304"/>
        <v>6.723999999999998E-2</v>
      </c>
      <c r="AI188" s="178">
        <f t="shared" si="305"/>
        <v>2.4979991993593598</v>
      </c>
      <c r="AJ188" s="178">
        <f t="shared" si="306"/>
        <v>3.038453276047262</v>
      </c>
      <c r="AK188" s="178">
        <f t="shared" si="307"/>
        <v>2.843298722997972</v>
      </c>
      <c r="AM188" s="560">
        <f t="shared" si="308"/>
        <v>624.00000000000011</v>
      </c>
      <c r="AN188" s="470">
        <f t="shared" si="309"/>
        <v>243.93215996805955</v>
      </c>
      <c r="AP188">
        <f t="shared" si="310"/>
        <v>624.00000000000011</v>
      </c>
      <c r="AQ188">
        <f t="shared" si="311"/>
        <v>243.93215996805955</v>
      </c>
      <c r="AS188" s="6">
        <f t="shared" si="232"/>
        <v>4.0995004518097975</v>
      </c>
      <c r="AT188" s="6">
        <f t="shared" si="312"/>
        <v>2.363241436925648</v>
      </c>
      <c r="AU188" s="6">
        <f t="shared" si="266"/>
        <v>1.7362590148841495</v>
      </c>
      <c r="AV188" s="6"/>
      <c r="AW188" s="178">
        <f t="shared" si="267"/>
        <v>0.57647058823529418</v>
      </c>
      <c r="AX188" s="178">
        <f t="shared" si="228"/>
        <v>7.8821052631578983</v>
      </c>
      <c r="AY188" s="178">
        <f t="shared" si="229"/>
        <v>0.64343716433942011</v>
      </c>
      <c r="AZ188" s="178">
        <f t="shared" si="233"/>
        <v>12.250000000000004</v>
      </c>
      <c r="BA188" s="470">
        <f>L*Isw_max^2/(2*Vout_ripple*Vout)*1000000000*((1+M188)/2)^2</f>
        <v>25.385458958093036</v>
      </c>
      <c r="BB188" s="470">
        <f>L*F188^2/(2*Cout*Vout*Nps^2)*1000000000*((1+M188)/(1-M188))^2+F188*RCoutEsr</f>
        <v>35.350247438928299</v>
      </c>
      <c r="BC188" s="6">
        <f t="shared" si="268"/>
        <v>2.2527368427034893</v>
      </c>
      <c r="BD188" s="470">
        <f>((BY188/I188/Efficiency)*AU188/Cin+(BY188/I188/Efficiency)*RCinEsr)*1000</f>
        <v>154.68710530353817</v>
      </c>
      <c r="BF188" s="178">
        <f t="shared" si="234"/>
        <v>1.3319272741516328</v>
      </c>
      <c r="BG188" s="178">
        <f t="shared" si="230"/>
        <v>1.1416519492728279</v>
      </c>
      <c r="BI188" s="543">
        <f t="shared" si="269"/>
        <v>0.19514332899918987</v>
      </c>
      <c r="BJ188" s="543">
        <f t="shared" si="270"/>
        <v>7.8750000000000001E-2</v>
      </c>
      <c r="BK188" s="543">
        <f t="shared" si="271"/>
        <v>1.2196607998402977E-2</v>
      </c>
      <c r="BL188" s="543">
        <f t="shared" si="272"/>
        <v>2.4783888596754802E-2</v>
      </c>
      <c r="BM188">
        <f t="shared" si="273"/>
        <v>2.6099999999999999E-3</v>
      </c>
      <c r="BN188" s="470">
        <f t="shared" si="274"/>
        <v>313.48382559434765</v>
      </c>
      <c r="BO188" s="543">
        <f t="shared" si="275"/>
        <v>0.24960000000000004</v>
      </c>
      <c r="BR188" s="470">
        <f t="shared" si="276"/>
        <v>249.60000000000005</v>
      </c>
      <c r="BS188" s="543">
        <f t="shared" si="277"/>
        <v>7.0961210545159956E-2</v>
      </c>
      <c r="BT188" s="543">
        <f t="shared" si="278"/>
        <v>5.2134766931137902E-2</v>
      </c>
      <c r="BU188" s="543">
        <f t="shared" si="279"/>
        <v>0</v>
      </c>
      <c r="BV188" s="543">
        <f t="shared" si="280"/>
        <v>8.4451127819548916E-2</v>
      </c>
      <c r="BW188" s="470">
        <f t="shared" si="281"/>
        <v>207.54710529584676</v>
      </c>
      <c r="BX188" s="178">
        <f t="shared" si="282"/>
        <v>0.77063093089019452</v>
      </c>
      <c r="BY188" s="6">
        <f t="shared" si="283"/>
        <v>7.4880000000000013</v>
      </c>
      <c r="BZ188" s="178">
        <f t="shared" si="284"/>
        <v>0.90668781092907758</v>
      </c>
      <c r="CA188" s="6">
        <f t="shared" si="285"/>
        <v>90.668781092907764</v>
      </c>
      <c r="CD188" s="577">
        <f t="shared" si="313"/>
        <v>-50</v>
      </c>
      <c r="CE188">
        <f t="shared" si="314"/>
        <v>-50</v>
      </c>
    </row>
    <row r="189" spans="5:83" x14ac:dyDescent="0.2">
      <c r="E189" s="175">
        <v>79</v>
      </c>
      <c r="F189" s="222">
        <f t="shared" si="315"/>
        <v>0.63200000000000012</v>
      </c>
      <c r="G189" s="222"/>
      <c r="H189" s="222">
        <f t="shared" si="286"/>
        <v>7.5840000000000014</v>
      </c>
      <c r="I189" s="556">
        <f t="shared" si="287"/>
        <v>9</v>
      </c>
      <c r="J189" s="452">
        <f t="shared" si="288"/>
        <v>12.25</v>
      </c>
      <c r="K189" s="452">
        <f t="shared" si="289"/>
        <v>21.25</v>
      </c>
      <c r="L189" s="452"/>
      <c r="M189" s="222">
        <f t="shared" si="290"/>
        <v>0.57647058823529407</v>
      </c>
      <c r="N189" s="177">
        <f t="shared" si="291"/>
        <v>10.104088235294114</v>
      </c>
      <c r="O189" s="177">
        <f t="shared" si="231"/>
        <v>7.5840000000000014</v>
      </c>
      <c r="P189" s="222">
        <f t="shared" si="292"/>
        <v>0.84200735294117612</v>
      </c>
      <c r="Q189" s="222">
        <f t="shared" si="293"/>
        <v>12</v>
      </c>
      <c r="R189" s="222"/>
      <c r="S189" s="177">
        <f t="shared" si="294"/>
        <v>18.851179846703698</v>
      </c>
      <c r="T189" s="551">
        <f t="shared" si="295"/>
        <v>12</v>
      </c>
      <c r="U189" s="222">
        <f t="shared" si="296"/>
        <v>3.0774078052273555</v>
      </c>
      <c r="V189" s="222">
        <f t="shared" si="297"/>
        <v>2.393539404065721</v>
      </c>
      <c r="W189" s="222">
        <f t="shared" si="298"/>
        <v>1.7585187458442033</v>
      </c>
      <c r="X189" s="202">
        <f t="shared" si="299"/>
        <v>350</v>
      </c>
      <c r="Y189" s="452">
        <f t="shared" si="265"/>
        <v>240.8444111077043</v>
      </c>
      <c r="AA189" s="222">
        <f t="shared" si="300"/>
        <v>2.1176470588235294</v>
      </c>
      <c r="AB189" s="178">
        <f t="shared" si="301"/>
        <v>1.2100840336134453</v>
      </c>
      <c r="AC189" s="178">
        <f t="shared" si="302"/>
        <v>0.4484429065743944</v>
      </c>
      <c r="AD189" s="178"/>
      <c r="AE189" s="178">
        <f t="shared" si="303"/>
        <v>0.46857142857142853</v>
      </c>
      <c r="AF189" s="560">
        <f>MAX(12000,F189/(0.5*AE189/1000000*Isw_min*Nps))/1000</f>
        <v>3289.7085068411675</v>
      </c>
      <c r="AG189" s="543">
        <f t="shared" si="304"/>
        <v>6.723999999999998E-2</v>
      </c>
      <c r="AI189" s="178">
        <f t="shared" si="305"/>
        <v>2.5139610179953071</v>
      </c>
      <c r="AJ189" s="178">
        <f t="shared" si="306"/>
        <v>3.0774078052273555</v>
      </c>
      <c r="AK189" s="178">
        <f t="shared" si="307"/>
        <v>2.8721539297980412</v>
      </c>
      <c r="AM189" s="560">
        <f t="shared" si="308"/>
        <v>632.00000000000011</v>
      </c>
      <c r="AN189" s="470">
        <f t="shared" si="309"/>
        <v>240.8444111077043</v>
      </c>
      <c r="AP189">
        <f t="shared" si="310"/>
        <v>632.00000000000011</v>
      </c>
      <c r="AQ189">
        <f t="shared" si="311"/>
        <v>240.8444111077043</v>
      </c>
      <c r="AS189" s="6">
        <f t="shared" si="232"/>
        <v>4.1520581499099247</v>
      </c>
      <c r="AT189" s="6">
        <f t="shared" si="312"/>
        <v>2.393539404065721</v>
      </c>
      <c r="AU189" s="6">
        <f t="shared" si="266"/>
        <v>1.7585187458442038</v>
      </c>
      <c r="AV189" s="6"/>
      <c r="AW189" s="178">
        <f t="shared" si="267"/>
        <v>0.57647058823529407</v>
      </c>
      <c r="AX189" s="178">
        <f t="shared" si="228"/>
        <v>7.9831578947368431</v>
      </c>
      <c r="AY189" s="178">
        <f t="shared" si="229"/>
        <v>0.65168635875402825</v>
      </c>
      <c r="AZ189" s="178">
        <f t="shared" si="233"/>
        <v>12.249999999999995</v>
      </c>
      <c r="BA189" s="470">
        <f>L*Isw_max^2/(2*Vout_ripple*Vout)*1000000000*((1+M189)/2)^2</f>
        <v>25.385458958093036</v>
      </c>
      <c r="BB189" s="470">
        <f>L*F189^2/(2*Cout*Vout*Nps^2)*1000000000*((1+M189)/(1-M189))^2+F189*RCoutEsr</f>
        <v>36.238166710445682</v>
      </c>
      <c r="BC189" s="6">
        <f t="shared" si="268"/>
        <v>2.3108695981775949</v>
      </c>
      <c r="BD189" s="470">
        <f>((BY189/I189/Efficiency)*AU189/Cin+(BY189/I189/Efficiency)*RCinEsr)*1000</f>
        <v>158.6447505085666</v>
      </c>
      <c r="BF189" s="178">
        <f t="shared" si="234"/>
        <v>1.3490032648458845</v>
      </c>
      <c r="BG189" s="178">
        <f t="shared" si="230"/>
        <v>1.156288512725044</v>
      </c>
      <c r="BI189" s="543">
        <f t="shared" si="269"/>
        <v>0.2001790789421341</v>
      </c>
      <c r="BJ189" s="543">
        <f t="shared" si="270"/>
        <v>7.8749999999999987E-2</v>
      </c>
      <c r="BK189" s="543">
        <f t="shared" si="271"/>
        <v>1.2042220555385215E-2</v>
      </c>
      <c r="BL189" s="543">
        <f t="shared" si="272"/>
        <v>2.4470168487935113E-2</v>
      </c>
      <c r="BM189">
        <f t="shared" si="273"/>
        <v>2.6099999999999999E-3</v>
      </c>
      <c r="BN189" s="470">
        <f t="shared" si="274"/>
        <v>318.05146798545439</v>
      </c>
      <c r="BO189" s="543">
        <f t="shared" si="275"/>
        <v>0.25280000000000008</v>
      </c>
      <c r="BR189" s="470">
        <f t="shared" si="276"/>
        <v>252.80000000000007</v>
      </c>
      <c r="BS189" s="543">
        <f t="shared" si="277"/>
        <v>7.2792392342594228E-2</v>
      </c>
      <c r="BT189" s="543">
        <f t="shared" si="278"/>
        <v>5.3480124986395768E-2</v>
      </c>
      <c r="BU189" s="543">
        <f t="shared" si="279"/>
        <v>0</v>
      </c>
      <c r="BV189" s="543">
        <f t="shared" si="280"/>
        <v>8.5533834586466198E-2</v>
      </c>
      <c r="BW189" s="470">
        <f t="shared" si="281"/>
        <v>211.80635191545622</v>
      </c>
      <c r="BX189" s="178">
        <f t="shared" si="282"/>
        <v>0.78265781990091077</v>
      </c>
      <c r="BY189" s="6">
        <f t="shared" si="283"/>
        <v>7.5840000000000014</v>
      </c>
      <c r="BZ189" s="178">
        <f t="shared" si="284"/>
        <v>0.90645514173661046</v>
      </c>
      <c r="CA189" s="6">
        <f t="shared" si="285"/>
        <v>90.645514173661041</v>
      </c>
      <c r="CD189" s="577">
        <f t="shared" si="313"/>
        <v>-50</v>
      </c>
      <c r="CE189">
        <f t="shared" si="314"/>
        <v>-50</v>
      </c>
    </row>
    <row r="190" spans="5:83" x14ac:dyDescent="0.2">
      <c r="E190" s="175">
        <v>80</v>
      </c>
      <c r="F190" s="222">
        <f t="shared" si="315"/>
        <v>0.64000000000000012</v>
      </c>
      <c r="G190" s="222"/>
      <c r="H190" s="222">
        <f t="shared" si="286"/>
        <v>7.6800000000000015</v>
      </c>
      <c r="I190" s="556">
        <f t="shared" si="287"/>
        <v>9</v>
      </c>
      <c r="J190" s="452">
        <f t="shared" si="288"/>
        <v>12.25</v>
      </c>
      <c r="K190" s="452">
        <f t="shared" si="289"/>
        <v>21.25</v>
      </c>
      <c r="L190" s="452"/>
      <c r="M190" s="222">
        <f t="shared" si="290"/>
        <v>0.57647058823529407</v>
      </c>
      <c r="N190" s="177">
        <f t="shared" si="291"/>
        <v>10.104088235294114</v>
      </c>
      <c r="O190" s="177">
        <f t="shared" si="231"/>
        <v>7.6800000000000015</v>
      </c>
      <c r="P190" s="222">
        <f t="shared" si="292"/>
        <v>0.84200735294117612</v>
      </c>
      <c r="Q190" s="222">
        <f t="shared" si="293"/>
        <v>12</v>
      </c>
      <c r="R190" s="222"/>
      <c r="S190" s="177">
        <f t="shared" si="294"/>
        <v>18.50667603856084</v>
      </c>
      <c r="T190" s="551">
        <f t="shared" si="295"/>
        <v>12</v>
      </c>
      <c r="U190" s="222">
        <f t="shared" si="296"/>
        <v>3.1163623344074485</v>
      </c>
      <c r="V190" s="222">
        <f t="shared" si="297"/>
        <v>2.423837371205793</v>
      </c>
      <c r="W190" s="222">
        <f t="shared" si="298"/>
        <v>1.780778476804256</v>
      </c>
      <c r="X190" s="202">
        <f t="shared" si="299"/>
        <v>350</v>
      </c>
      <c r="Y190" s="452">
        <f t="shared" si="265"/>
        <v>237.83385596885805</v>
      </c>
      <c r="AA190" s="222">
        <f t="shared" si="300"/>
        <v>2.1176470588235294</v>
      </c>
      <c r="AB190" s="178">
        <f t="shared" si="301"/>
        <v>1.2100840336134453</v>
      </c>
      <c r="AC190" s="178">
        <f t="shared" si="302"/>
        <v>0.4484429065743944</v>
      </c>
      <c r="AD190" s="178"/>
      <c r="AE190" s="178">
        <f t="shared" si="303"/>
        <v>0.46857142857142853</v>
      </c>
      <c r="AF190" s="560">
        <f>MAX(12000,F190/(0.5*AE190/1000000*Isw_min*Nps))/1000</f>
        <v>3331.3503866745996</v>
      </c>
      <c r="AG190" s="543">
        <f t="shared" si="304"/>
        <v>6.723999999999998E-2</v>
      </c>
      <c r="AI190" s="178">
        <f t="shared" si="305"/>
        <v>2.529822128134704</v>
      </c>
      <c r="AJ190" s="178">
        <f t="shared" si="306"/>
        <v>3.1163623344074485</v>
      </c>
      <c r="AK190" s="178">
        <f t="shared" si="307"/>
        <v>2.9010091365981099</v>
      </c>
      <c r="AM190" s="560">
        <f t="shared" si="308"/>
        <v>640.00000000000011</v>
      </c>
      <c r="AN190" s="470">
        <f t="shared" si="309"/>
        <v>237.83385596885805</v>
      </c>
      <c r="AP190">
        <f t="shared" si="310"/>
        <v>640.00000000000011</v>
      </c>
      <c r="AQ190">
        <f t="shared" si="311"/>
        <v>237.83385596885805</v>
      </c>
      <c r="AS190" s="6">
        <f t="shared" si="232"/>
        <v>4.2046158480100493</v>
      </c>
      <c r="AT190" s="6">
        <f t="shared" si="312"/>
        <v>2.423837371205793</v>
      </c>
      <c r="AU190" s="6">
        <f t="shared" si="266"/>
        <v>1.7807784768042563</v>
      </c>
      <c r="AV190" s="6"/>
      <c r="AW190" s="178">
        <f t="shared" si="267"/>
        <v>0.57647058823529407</v>
      </c>
      <c r="AX190" s="178">
        <f t="shared" si="228"/>
        <v>8.0842105263157933</v>
      </c>
      <c r="AY190" s="178">
        <f t="shared" si="229"/>
        <v>0.65993555316863628</v>
      </c>
      <c r="AZ190" s="178">
        <f t="shared" si="233"/>
        <v>12.249999999999998</v>
      </c>
      <c r="BA190" s="470">
        <f>L*Isw_max^2/(2*Vout_ripple*Vout)*1000000000*((1+M190)/2)^2</f>
        <v>25.385458958093036</v>
      </c>
      <c r="BB190" s="470">
        <f>L*F190^2/(2*Cout*Vout*Nps^2)*1000000000*((1+M190)/(1-M190))^2+F190*RCoutEsr</f>
        <v>37.137091323001499</v>
      </c>
      <c r="BC190" s="6">
        <f t="shared" si="268"/>
        <v>2.3697428983074191</v>
      </c>
      <c r="BD190" s="470">
        <f>((BY190/I190/Efficiency)*AU190/Cin+(BY190/I190/Efficiency)*RCinEsr)*1000</f>
        <v>162.65238247785607</v>
      </c>
      <c r="BF190" s="178">
        <f t="shared" si="234"/>
        <v>1.3660792555401362</v>
      </c>
      <c r="BG190" s="178">
        <f t="shared" si="230"/>
        <v>1.1709250761772596</v>
      </c>
      <c r="BI190" s="543">
        <f t="shared" si="269"/>
        <v>0.2052789785658802</v>
      </c>
      <c r="BJ190" s="543">
        <f t="shared" si="270"/>
        <v>7.8750000000000014E-2</v>
      </c>
      <c r="BK190" s="543">
        <f t="shared" si="271"/>
        <v>1.1891692798442903E-2</v>
      </c>
      <c r="BL190" s="543">
        <f t="shared" si="272"/>
        <v>2.4164291381835928E-2</v>
      </c>
      <c r="BM190">
        <f t="shared" si="273"/>
        <v>2.6099999999999999E-3</v>
      </c>
      <c r="BN190" s="470">
        <f t="shared" si="274"/>
        <v>322.69496274615904</v>
      </c>
      <c r="BO190" s="543">
        <f t="shared" si="275"/>
        <v>0.25600000000000006</v>
      </c>
      <c r="BR190" s="470">
        <f t="shared" si="276"/>
        <v>256.00000000000006</v>
      </c>
      <c r="BS190" s="543">
        <f t="shared" si="277"/>
        <v>7.4646901296683707E-2</v>
      </c>
      <c r="BT190" s="543">
        <f t="shared" si="278"/>
        <v>5.4842621360828847E-2</v>
      </c>
      <c r="BU190" s="543">
        <f t="shared" si="279"/>
        <v>0</v>
      </c>
      <c r="BV190" s="543">
        <f t="shared" si="280"/>
        <v>8.6616541353383508E-2</v>
      </c>
      <c r="BW190" s="470">
        <f t="shared" si="281"/>
        <v>216.10606401089606</v>
      </c>
      <c r="BX190" s="178">
        <f t="shared" si="282"/>
        <v>0.79480102675705511</v>
      </c>
      <c r="BY190" s="6">
        <f t="shared" si="283"/>
        <v>7.6800000000000015</v>
      </c>
      <c r="BZ190" s="178">
        <f t="shared" si="284"/>
        <v>0.90621596610378574</v>
      </c>
      <c r="CA190" s="6">
        <f t="shared" si="285"/>
        <v>90.621596610378575</v>
      </c>
      <c r="CD190" s="577">
        <f t="shared" si="313"/>
        <v>-50</v>
      </c>
      <c r="CE190">
        <f t="shared" si="314"/>
        <v>-50</v>
      </c>
    </row>
    <row r="191" spans="5:83" x14ac:dyDescent="0.2">
      <c r="E191" s="175">
        <v>81</v>
      </c>
      <c r="F191" s="222">
        <f t="shared" si="315"/>
        <v>0.64800000000000013</v>
      </c>
      <c r="G191" s="222"/>
      <c r="H191" s="222">
        <f t="shared" si="286"/>
        <v>7.7760000000000016</v>
      </c>
      <c r="I191" s="556">
        <f t="shared" si="287"/>
        <v>9</v>
      </c>
      <c r="J191" s="452">
        <f t="shared" si="288"/>
        <v>12.25</v>
      </c>
      <c r="K191" s="452">
        <f t="shared" si="289"/>
        <v>21.25</v>
      </c>
      <c r="L191" s="452"/>
      <c r="M191" s="222">
        <f t="shared" si="290"/>
        <v>0.57647058823529407</v>
      </c>
      <c r="N191" s="177">
        <f t="shared" si="291"/>
        <v>10.104088235294114</v>
      </c>
      <c r="O191" s="177">
        <f t="shared" si="231"/>
        <v>7.7760000000000016</v>
      </c>
      <c r="P191" s="222">
        <f t="shared" si="292"/>
        <v>0.84200735294117612</v>
      </c>
      <c r="Q191" s="222">
        <f t="shared" si="293"/>
        <v>12</v>
      </c>
      <c r="R191" s="222"/>
      <c r="S191" s="177">
        <f t="shared" si="294"/>
        <v>18.170755935561889</v>
      </c>
      <c r="T191" s="551">
        <f t="shared" si="295"/>
        <v>12</v>
      </c>
      <c r="U191" s="222">
        <f t="shared" si="296"/>
        <v>3.1553168635875415</v>
      </c>
      <c r="V191" s="222">
        <f t="shared" si="297"/>
        <v>2.4541353383458655</v>
      </c>
      <c r="W191" s="222">
        <f t="shared" si="298"/>
        <v>1.8030382077643092</v>
      </c>
      <c r="X191" s="202">
        <f t="shared" si="299"/>
        <v>350</v>
      </c>
      <c r="Y191" s="452">
        <f t="shared" si="265"/>
        <v>234.89763552479809</v>
      </c>
      <c r="AA191" s="222">
        <f t="shared" si="300"/>
        <v>2.1176470588235294</v>
      </c>
      <c r="AB191" s="178">
        <f t="shared" si="301"/>
        <v>1.2100840336134453</v>
      </c>
      <c r="AC191" s="178">
        <f t="shared" si="302"/>
        <v>0.4484429065743944</v>
      </c>
      <c r="AD191" s="178"/>
      <c r="AE191" s="178">
        <f t="shared" si="303"/>
        <v>0.46857142857142853</v>
      </c>
      <c r="AF191" s="560">
        <f>MAX(12000,F191/(0.5*AE191/1000000*Isw_min*Nps))/1000</f>
        <v>3372.9922665080321</v>
      </c>
      <c r="AG191" s="543">
        <f t="shared" si="304"/>
        <v>6.723999999999998E-2</v>
      </c>
      <c r="AI191" s="178">
        <f t="shared" si="305"/>
        <v>2.5455844122715714</v>
      </c>
      <c r="AJ191" s="178">
        <f t="shared" si="306"/>
        <v>3.1553168635875415</v>
      </c>
      <c r="AK191" s="178">
        <f t="shared" si="307"/>
        <v>2.9298643433981786</v>
      </c>
      <c r="AM191" s="560">
        <f t="shared" si="308"/>
        <v>648.00000000000011</v>
      </c>
      <c r="AN191" s="470">
        <f t="shared" si="309"/>
        <v>234.89763552479809</v>
      </c>
      <c r="AP191">
        <f t="shared" si="310"/>
        <v>648.00000000000011</v>
      </c>
      <c r="AQ191">
        <f t="shared" si="311"/>
        <v>234.89763552479809</v>
      </c>
      <c r="AS191" s="6">
        <f t="shared" si="232"/>
        <v>4.2571735461101747</v>
      </c>
      <c r="AT191" s="6">
        <f t="shared" si="312"/>
        <v>2.4541353383458655</v>
      </c>
      <c r="AU191" s="6">
        <f t="shared" si="266"/>
        <v>1.8030382077643092</v>
      </c>
      <c r="AV191" s="6"/>
      <c r="AW191" s="178">
        <f t="shared" si="267"/>
        <v>0.57647058823529418</v>
      </c>
      <c r="AX191" s="178">
        <f t="shared" si="228"/>
        <v>8.1852631578947399</v>
      </c>
      <c r="AY191" s="178">
        <f t="shared" si="229"/>
        <v>0.66818474758324398</v>
      </c>
      <c r="AZ191" s="178">
        <f t="shared" si="233"/>
        <v>12.250000000000002</v>
      </c>
      <c r="BA191" s="470">
        <f>L*Isw_max^2/(2*Vout_ripple*Vout)*1000000000*((1+M191)/2)^2</f>
        <v>25.385458958093036</v>
      </c>
      <c r="BB191" s="470">
        <f>L*F191^2/(2*Cout*Vout*Nps^2)*1000000000*((1+M191)/(1-M191))^2+F191*RCoutEsr</f>
        <v>38.047021276595764</v>
      </c>
      <c r="BC191" s="6">
        <f t="shared" si="268"/>
        <v>2.4293567430929639</v>
      </c>
      <c r="BD191" s="470">
        <f>((BY191/I191/Efficiency)*AU191/Cin+(BY191/I191/Efficiency)*RCinEsr)*1000</f>
        <v>166.71000121140671</v>
      </c>
      <c r="BF191" s="178">
        <f t="shared" si="234"/>
        <v>1.3831552462343879</v>
      </c>
      <c r="BG191" s="178">
        <f t="shared" si="230"/>
        <v>1.1855616396294753</v>
      </c>
      <c r="BI191" s="543">
        <f t="shared" si="269"/>
        <v>0.21044302787042812</v>
      </c>
      <c r="BJ191" s="543">
        <f t="shared" si="270"/>
        <v>7.8750000000000014E-2</v>
      </c>
      <c r="BK191" s="543">
        <f t="shared" si="271"/>
        <v>1.1744881776239903E-2</v>
      </c>
      <c r="BL191" s="543">
        <f t="shared" si="272"/>
        <v>2.3865966796874992E-2</v>
      </c>
      <c r="BM191">
        <f t="shared" si="273"/>
        <v>2.6099999999999999E-3</v>
      </c>
      <c r="BN191" s="470">
        <f t="shared" si="274"/>
        <v>327.41387644354296</v>
      </c>
      <c r="BO191" s="543">
        <f t="shared" si="275"/>
        <v>0.25920000000000004</v>
      </c>
      <c r="BR191" s="470">
        <f t="shared" si="276"/>
        <v>259.20000000000005</v>
      </c>
      <c r="BS191" s="543">
        <f t="shared" si="277"/>
        <v>7.6524737407428406E-2</v>
      </c>
      <c r="BT191" s="543">
        <f t="shared" si="278"/>
        <v>5.6222256054437189E-2</v>
      </c>
      <c r="BU191" s="543">
        <f t="shared" si="279"/>
        <v>0</v>
      </c>
      <c r="BV191" s="543">
        <f t="shared" si="280"/>
        <v>8.7699248120300805E-2</v>
      </c>
      <c r="BW191" s="470">
        <f t="shared" si="281"/>
        <v>220.44624158216638</v>
      </c>
      <c r="BX191" s="178">
        <f t="shared" si="282"/>
        <v>0.80706011802570943</v>
      </c>
      <c r="BY191" s="6">
        <f t="shared" si="283"/>
        <v>7.7760000000000016</v>
      </c>
      <c r="BZ191" s="178">
        <f t="shared" si="284"/>
        <v>0.90597058544064457</v>
      </c>
      <c r="CA191" s="6">
        <f t="shared" si="285"/>
        <v>90.597058544064453</v>
      </c>
      <c r="CD191" s="577">
        <f t="shared" si="313"/>
        <v>-50</v>
      </c>
      <c r="CE191">
        <f t="shared" si="314"/>
        <v>-50</v>
      </c>
    </row>
    <row r="192" spans="5:83" x14ac:dyDescent="0.2">
      <c r="E192" s="175">
        <v>82</v>
      </c>
      <c r="F192" s="222">
        <f t="shared" si="315"/>
        <v>0.65600000000000003</v>
      </c>
      <c r="G192" s="222"/>
      <c r="H192" s="222">
        <f t="shared" si="286"/>
        <v>7.8719999999999999</v>
      </c>
      <c r="I192" s="556">
        <f t="shared" si="287"/>
        <v>9</v>
      </c>
      <c r="J192" s="452">
        <f t="shared" si="288"/>
        <v>12.25</v>
      </c>
      <c r="K192" s="452">
        <f t="shared" si="289"/>
        <v>21.25</v>
      </c>
      <c r="L192" s="452"/>
      <c r="M192" s="222">
        <f t="shared" si="290"/>
        <v>0.57647058823529407</v>
      </c>
      <c r="N192" s="177">
        <f t="shared" si="291"/>
        <v>10.104088235294114</v>
      </c>
      <c r="O192" s="177">
        <f t="shared" si="231"/>
        <v>7.8719999999999999</v>
      </c>
      <c r="P192" s="222">
        <f t="shared" si="292"/>
        <v>0.84200735294117612</v>
      </c>
      <c r="Q192" s="222">
        <f t="shared" si="293"/>
        <v>12</v>
      </c>
      <c r="R192" s="222"/>
      <c r="S192" s="177">
        <f t="shared" si="294"/>
        <v>17.843106752589105</v>
      </c>
      <c r="T192" s="551">
        <f t="shared" si="295"/>
        <v>12</v>
      </c>
      <c r="U192" s="222">
        <f t="shared" si="296"/>
        <v>3.1942713927676341</v>
      </c>
      <c r="V192" s="222">
        <f t="shared" si="297"/>
        <v>2.4844333054859375</v>
      </c>
      <c r="W192" s="222">
        <f t="shared" si="298"/>
        <v>1.8252979387243624</v>
      </c>
      <c r="X192" s="202">
        <f t="shared" si="299"/>
        <v>350</v>
      </c>
      <c r="Y192" s="452">
        <f t="shared" si="265"/>
        <v>232.03303021352008</v>
      </c>
      <c r="AA192" s="222">
        <f t="shared" si="300"/>
        <v>2.1176470588235294</v>
      </c>
      <c r="AB192" s="178">
        <f t="shared" si="301"/>
        <v>1.2100840336134453</v>
      </c>
      <c r="AC192" s="178">
        <f t="shared" si="302"/>
        <v>0.4484429065743944</v>
      </c>
      <c r="AD192" s="178"/>
      <c r="AE192" s="178">
        <f t="shared" si="303"/>
        <v>0.46857142857142853</v>
      </c>
      <c r="AF192" s="560">
        <f>MAX(12000,F192/(0.5*AE192/1000000*Isw_min*Nps))/1000</f>
        <v>3414.6341463414642</v>
      </c>
      <c r="AG192" s="543">
        <f t="shared" si="304"/>
        <v>6.723999999999998E-2</v>
      </c>
      <c r="AI192" s="178">
        <f t="shared" si="305"/>
        <v>2.5612496949731396</v>
      </c>
      <c r="AJ192" s="178">
        <f t="shared" si="306"/>
        <v>3.1942713927676341</v>
      </c>
      <c r="AK192" s="178">
        <f t="shared" si="307"/>
        <v>2.9587195501982473</v>
      </c>
      <c r="AM192" s="560">
        <f t="shared" si="308"/>
        <v>656</v>
      </c>
      <c r="AN192" s="470">
        <f t="shared" si="309"/>
        <v>232.03303021352008</v>
      </c>
      <c r="AP192">
        <f t="shared" si="310"/>
        <v>656</v>
      </c>
      <c r="AQ192">
        <f t="shared" si="311"/>
        <v>232.03303021352008</v>
      </c>
      <c r="AS192" s="6">
        <f t="shared" si="232"/>
        <v>4.3097312442103002</v>
      </c>
      <c r="AT192" s="6">
        <f t="shared" si="312"/>
        <v>2.4844333054859375</v>
      </c>
      <c r="AU192" s="6">
        <f t="shared" si="266"/>
        <v>1.8252979387243626</v>
      </c>
      <c r="AV192" s="6"/>
      <c r="AW192" s="178">
        <f t="shared" si="267"/>
        <v>0.57647058823529407</v>
      </c>
      <c r="AX192" s="178">
        <f t="shared" si="228"/>
        <v>8.2863157894736847</v>
      </c>
      <c r="AY192" s="178">
        <f t="shared" si="229"/>
        <v>0.67643394199785201</v>
      </c>
      <c r="AZ192" s="178">
        <f t="shared" si="233"/>
        <v>12.249999999999996</v>
      </c>
      <c r="BA192" s="470">
        <f>L*Isw_max^2/(2*Vout_ripple*Vout)*1000000000*((1+M192)/2)^2</f>
        <v>25.385458958093036</v>
      </c>
      <c r="BB192" s="470">
        <f>L*F192^2/(2*Cout*Vout*Nps^2)*1000000000*((1+M192)/(1-M192))^2+F192*RCoutEsr</f>
        <v>38.967956571228441</v>
      </c>
      <c r="BC192" s="6">
        <f t="shared" si="268"/>
        <v>2.4897111325342314</v>
      </c>
      <c r="BD192" s="470">
        <f>((BY192/I192/Efficiency)*AU192/Cin+(BY192/I192/Efficiency)*RCinEsr)*1000</f>
        <v>170.81760670921852</v>
      </c>
      <c r="BF192" s="178">
        <f t="shared" si="234"/>
        <v>1.4002312369286392</v>
      </c>
      <c r="BG192" s="178">
        <f t="shared" si="230"/>
        <v>1.2001982030816909</v>
      </c>
      <c r="BI192" s="543">
        <f t="shared" si="269"/>
        <v>0.21567122685577775</v>
      </c>
      <c r="BJ192" s="543">
        <f t="shared" si="270"/>
        <v>7.8750000000000014E-2</v>
      </c>
      <c r="BK192" s="543">
        <f t="shared" si="271"/>
        <v>1.1601651510676003E-2</v>
      </c>
      <c r="BL192" s="543">
        <f t="shared" si="272"/>
        <v>2.357491842130335E-2</v>
      </c>
      <c r="BM192">
        <f t="shared" si="273"/>
        <v>2.6099999999999999E-3</v>
      </c>
      <c r="BN192" s="470">
        <f t="shared" si="274"/>
        <v>332.2077967877571</v>
      </c>
      <c r="BO192" s="543">
        <f t="shared" si="275"/>
        <v>0.26240000000000002</v>
      </c>
      <c r="BR192" s="470">
        <f t="shared" si="276"/>
        <v>262.40000000000003</v>
      </c>
      <c r="BS192" s="543">
        <f t="shared" si="277"/>
        <v>7.8425900674828269E-2</v>
      </c>
      <c r="BT192" s="543">
        <f t="shared" si="278"/>
        <v>5.7619029067220787E-2</v>
      </c>
      <c r="BU192" s="543">
        <f t="shared" si="279"/>
        <v>0</v>
      </c>
      <c r="BV192" s="543">
        <f t="shared" si="280"/>
        <v>8.8781954887218073E-2</v>
      </c>
      <c r="BW192" s="470">
        <f t="shared" si="281"/>
        <v>224.82688462926714</v>
      </c>
      <c r="BX192" s="178">
        <f t="shared" si="282"/>
        <v>0.81943468141702425</v>
      </c>
      <c r="BY192" s="6">
        <f t="shared" si="283"/>
        <v>7.8719999999999999</v>
      </c>
      <c r="BZ192" s="178">
        <f t="shared" si="284"/>
        <v>0.90571928439282412</v>
      </c>
      <c r="CA192" s="6">
        <f t="shared" si="285"/>
        <v>90.571928439282416</v>
      </c>
      <c r="CD192" s="577">
        <f t="shared" si="313"/>
        <v>-50</v>
      </c>
      <c r="CE192">
        <f t="shared" si="314"/>
        <v>-50</v>
      </c>
    </row>
    <row r="193" spans="5:83" x14ac:dyDescent="0.2">
      <c r="E193" s="175">
        <v>83</v>
      </c>
      <c r="F193" s="222">
        <f t="shared" si="315"/>
        <v>0.66400000000000003</v>
      </c>
      <c r="G193" s="222"/>
      <c r="H193" s="222">
        <f t="shared" si="286"/>
        <v>7.968</v>
      </c>
      <c r="I193" s="556">
        <f t="shared" si="287"/>
        <v>9</v>
      </c>
      <c r="J193" s="452">
        <f t="shared" si="288"/>
        <v>12.25</v>
      </c>
      <c r="K193" s="452">
        <f t="shared" si="289"/>
        <v>21.25</v>
      </c>
      <c r="L193" s="452"/>
      <c r="M193" s="222">
        <f t="shared" si="290"/>
        <v>0.57647058823529407</v>
      </c>
      <c r="N193" s="177">
        <f t="shared" si="291"/>
        <v>10.104088235294114</v>
      </c>
      <c r="O193" s="177">
        <f t="shared" si="231"/>
        <v>7.968</v>
      </c>
      <c r="P193" s="222">
        <f t="shared" si="292"/>
        <v>0.84200735294117612</v>
      </c>
      <c r="Q193" s="222">
        <f t="shared" si="293"/>
        <v>12</v>
      </c>
      <c r="R193" s="222"/>
      <c r="S193" s="177">
        <f t="shared" si="294"/>
        <v>17.523430803686296</v>
      </c>
      <c r="T193" s="551">
        <f t="shared" si="295"/>
        <v>12</v>
      </c>
      <c r="U193" s="222">
        <f t="shared" si="296"/>
        <v>3.2332259219477271</v>
      </c>
      <c r="V193" s="222">
        <f t="shared" si="297"/>
        <v>2.5147312726260096</v>
      </c>
      <c r="W193" s="222">
        <f t="shared" si="298"/>
        <v>1.8475576696844154</v>
      </c>
      <c r="X193" s="202">
        <f t="shared" si="299"/>
        <v>350</v>
      </c>
      <c r="Y193" s="452">
        <f t="shared" si="265"/>
        <v>229.23745153624881</v>
      </c>
      <c r="AA193" s="222">
        <f t="shared" si="300"/>
        <v>2.1176470588235294</v>
      </c>
      <c r="AB193" s="178">
        <f t="shared" si="301"/>
        <v>1.2100840336134453</v>
      </c>
      <c r="AC193" s="178">
        <f t="shared" si="302"/>
        <v>0.4484429065743944</v>
      </c>
      <c r="AD193" s="178"/>
      <c r="AE193" s="178">
        <f t="shared" si="303"/>
        <v>0.46857142857142853</v>
      </c>
      <c r="AF193" s="560">
        <f>MAX(12000,F193/(0.5*AE193/1000000*Isw_min*Nps))/1000</f>
        <v>3456.2760261748967</v>
      </c>
      <c r="AG193" s="543">
        <f t="shared" si="304"/>
        <v>6.723999999999998E-2</v>
      </c>
      <c r="AI193" s="178">
        <f t="shared" si="305"/>
        <v>2.5768197453450252</v>
      </c>
      <c r="AJ193" s="178">
        <f t="shared" si="306"/>
        <v>3.2332259219477271</v>
      </c>
      <c r="AK193" s="178">
        <f t="shared" si="307"/>
        <v>2.9875747569983169</v>
      </c>
      <c r="AM193" s="560">
        <f t="shared" si="308"/>
        <v>664</v>
      </c>
      <c r="AN193" s="470">
        <f t="shared" si="309"/>
        <v>229.23745153624881</v>
      </c>
      <c r="AP193">
        <f t="shared" si="310"/>
        <v>664</v>
      </c>
      <c r="AQ193">
        <f t="shared" si="311"/>
        <v>229.23745153624881</v>
      </c>
      <c r="AS193" s="6">
        <f t="shared" si="232"/>
        <v>4.3622889423104247</v>
      </c>
      <c r="AT193" s="6">
        <f t="shared" si="312"/>
        <v>2.5147312726260096</v>
      </c>
      <c r="AU193" s="6">
        <f t="shared" si="266"/>
        <v>1.8475576696844151</v>
      </c>
      <c r="AV193" s="6"/>
      <c r="AW193" s="178">
        <f t="shared" si="267"/>
        <v>0.57647058823529418</v>
      </c>
      <c r="AX193" s="178">
        <f t="shared" si="228"/>
        <v>8.3873684210526349</v>
      </c>
      <c r="AY193" s="178">
        <f t="shared" si="229"/>
        <v>0.6846831364124597</v>
      </c>
      <c r="AZ193" s="178">
        <f t="shared" si="233"/>
        <v>12.250000000000005</v>
      </c>
      <c r="BA193" s="470">
        <f>L*Isw_max^2/(2*Vout_ripple*Vout)*1000000000*((1+M193)/2)^2</f>
        <v>25.385458958093036</v>
      </c>
      <c r="BB193" s="470">
        <f>L*F193^2/(2*Cout*Vout*Nps^2)*1000000000*((1+M193)/(1-M193))^2+F193*RCoutEsr</f>
        <v>39.899897206899567</v>
      </c>
      <c r="BC193" s="6">
        <f t="shared" si="268"/>
        <v>2.550806066631218</v>
      </c>
      <c r="BD193" s="470">
        <f>((BY193/I193/Efficiency)*AU193/Cin+(BY193/I193/Efficiency)*RCinEsr)*1000</f>
        <v>174.97519897129146</v>
      </c>
      <c r="BF193" s="178">
        <f t="shared" si="234"/>
        <v>1.4173072276228911</v>
      </c>
      <c r="BG193" s="178">
        <f t="shared" si="230"/>
        <v>1.2148347665339065</v>
      </c>
      <c r="BI193" s="543">
        <f t="shared" si="269"/>
        <v>0.22096357552192944</v>
      </c>
      <c r="BJ193" s="543">
        <f t="shared" si="270"/>
        <v>7.8750000000000014E-2</v>
      </c>
      <c r="BK193" s="543">
        <f t="shared" si="271"/>
        <v>1.146187257681244E-2</v>
      </c>
      <c r="BL193" s="543">
        <f t="shared" si="272"/>
        <v>2.3290883259600905E-2</v>
      </c>
      <c r="BM193">
        <f t="shared" si="273"/>
        <v>2.6099999999999999E-3</v>
      </c>
      <c r="BN193" s="470">
        <f t="shared" si="274"/>
        <v>337.07633135834277</v>
      </c>
      <c r="BO193" s="543">
        <f t="shared" si="275"/>
        <v>0.2656</v>
      </c>
      <c r="BR193" s="470">
        <f t="shared" si="276"/>
        <v>265.60000000000002</v>
      </c>
      <c r="BS193" s="543">
        <f t="shared" si="277"/>
        <v>8.0350391098883436E-2</v>
      </c>
      <c r="BT193" s="543">
        <f t="shared" si="278"/>
        <v>5.9032940399179647E-2</v>
      </c>
      <c r="BU193" s="543">
        <f t="shared" si="279"/>
        <v>0</v>
      </c>
      <c r="BV193" s="543">
        <f t="shared" si="280"/>
        <v>8.9864661654135397E-2</v>
      </c>
      <c r="BW193" s="470">
        <f t="shared" si="281"/>
        <v>229.24799315219849</v>
      </c>
      <c r="BX193" s="178">
        <f t="shared" si="282"/>
        <v>0.83192432451054121</v>
      </c>
      <c r="BY193" s="6">
        <f t="shared" si="283"/>
        <v>7.968</v>
      </c>
      <c r="BZ193" s="178">
        <f t="shared" si="284"/>
        <v>0.90546233196649517</v>
      </c>
      <c r="CA193" s="6">
        <f t="shared" si="285"/>
        <v>90.546233196649524</v>
      </c>
      <c r="CD193" s="577">
        <f t="shared" si="313"/>
        <v>-50</v>
      </c>
      <c r="CE193">
        <f t="shared" si="314"/>
        <v>-50</v>
      </c>
    </row>
    <row r="194" spans="5:83" x14ac:dyDescent="0.2">
      <c r="E194" s="175">
        <v>84</v>
      </c>
      <c r="F194" s="222">
        <f t="shared" si="315"/>
        <v>0.67200000000000004</v>
      </c>
      <c r="G194" s="222"/>
      <c r="H194" s="222">
        <f t="shared" si="286"/>
        <v>8.0640000000000001</v>
      </c>
      <c r="I194" s="556">
        <f t="shared" si="287"/>
        <v>9</v>
      </c>
      <c r="J194" s="452">
        <f t="shared" si="288"/>
        <v>12.25</v>
      </c>
      <c r="K194" s="452">
        <f t="shared" si="289"/>
        <v>21.25</v>
      </c>
      <c r="L194" s="452"/>
      <c r="M194" s="222">
        <f t="shared" si="290"/>
        <v>0.57647058823529407</v>
      </c>
      <c r="N194" s="177">
        <f t="shared" si="291"/>
        <v>10.104088235294114</v>
      </c>
      <c r="O194" s="177">
        <f t="shared" si="231"/>
        <v>8.0640000000000001</v>
      </c>
      <c r="P194" s="222">
        <f t="shared" si="292"/>
        <v>0.84200735294117612</v>
      </c>
      <c r="Q194" s="222">
        <f t="shared" si="293"/>
        <v>12</v>
      </c>
      <c r="R194" s="222"/>
      <c r="S194" s="177">
        <f t="shared" si="294"/>
        <v>17.211444603876249</v>
      </c>
      <c r="T194" s="551">
        <f t="shared" si="295"/>
        <v>12</v>
      </c>
      <c r="U194" s="222">
        <f t="shared" si="296"/>
        <v>3.2721804511278201</v>
      </c>
      <c r="V194" s="222">
        <f t="shared" si="297"/>
        <v>2.5450292397660821</v>
      </c>
      <c r="W194" s="222">
        <f t="shared" si="298"/>
        <v>1.8698174006444686</v>
      </c>
      <c r="X194" s="202">
        <f t="shared" si="299"/>
        <v>350</v>
      </c>
      <c r="Y194" s="452">
        <f t="shared" si="265"/>
        <v>226.50843425605535</v>
      </c>
      <c r="AA194" s="222">
        <f t="shared" si="300"/>
        <v>2.1176470588235294</v>
      </c>
      <c r="AB194" s="178">
        <f t="shared" si="301"/>
        <v>1.2100840336134453</v>
      </c>
      <c r="AC194" s="178">
        <f t="shared" si="302"/>
        <v>0.4484429065743944</v>
      </c>
      <c r="AD194" s="178"/>
      <c r="AE194" s="178">
        <f t="shared" si="303"/>
        <v>0.46857142857142853</v>
      </c>
      <c r="AF194" s="560">
        <f>MAX(12000,F194/(0.5*AE194/1000000*Isw_min*Nps))/1000</f>
        <v>3497.9179060083293</v>
      </c>
      <c r="AG194" s="543">
        <f t="shared" si="304"/>
        <v>6.723999999999998E-2</v>
      </c>
      <c r="AI194" s="178">
        <f t="shared" si="305"/>
        <v>2.5922962793631443</v>
      </c>
      <c r="AJ194" s="178">
        <f t="shared" si="306"/>
        <v>3.2721804511278201</v>
      </c>
      <c r="AK194" s="178">
        <f t="shared" si="307"/>
        <v>3.0164299637983856</v>
      </c>
      <c r="AM194" s="560">
        <f t="shared" si="308"/>
        <v>672</v>
      </c>
      <c r="AN194" s="470">
        <f t="shared" si="309"/>
        <v>226.50843425605535</v>
      </c>
      <c r="AP194">
        <f t="shared" si="310"/>
        <v>672</v>
      </c>
      <c r="AQ194">
        <f t="shared" si="311"/>
        <v>226.50843425605535</v>
      </c>
      <c r="AS194" s="6">
        <f t="shared" si="232"/>
        <v>4.4148466404105502</v>
      </c>
      <c r="AT194" s="6">
        <f t="shared" si="312"/>
        <v>2.5450292397660821</v>
      </c>
      <c r="AU194" s="6">
        <f t="shared" si="266"/>
        <v>1.8698174006444681</v>
      </c>
      <c r="AV194" s="6"/>
      <c r="AW194" s="178">
        <f t="shared" si="267"/>
        <v>0.57647058823529418</v>
      </c>
      <c r="AX194" s="178">
        <f t="shared" si="228"/>
        <v>8.4884210526315815</v>
      </c>
      <c r="AY194" s="178">
        <f t="shared" si="229"/>
        <v>0.69293233082706773</v>
      </c>
      <c r="AZ194" s="178">
        <f t="shared" si="233"/>
        <v>12.250000000000002</v>
      </c>
      <c r="BA194" s="470">
        <f>L*Isw_max^2/(2*Vout_ripple*Vout)*1000000000*((1+M194)/2)^2</f>
        <v>25.385458958093036</v>
      </c>
      <c r="BB194" s="470">
        <f>L*F194^2/(2*Cout*Vout*Nps^2)*1000000000*((1+M194)/(1-M194))^2+F194*RCoutEsr</f>
        <v>40.842843183609133</v>
      </c>
      <c r="BC194" s="6">
        <f t="shared" si="268"/>
        <v>2.6126415453839273</v>
      </c>
      <c r="BD194" s="470">
        <f>((BY194/I194/Efficiency)*AU194/Cin+(BY194/I194/Efficiency)*RCinEsr)*1000</f>
        <v>179.18277799762564</v>
      </c>
      <c r="BF194" s="178">
        <f t="shared" si="234"/>
        <v>1.4343832183171428</v>
      </c>
      <c r="BG194" s="178">
        <f t="shared" si="230"/>
        <v>1.2294713299861222</v>
      </c>
      <c r="BI194" s="543">
        <f t="shared" si="269"/>
        <v>0.22632007386888284</v>
      </c>
      <c r="BJ194" s="543">
        <f t="shared" si="270"/>
        <v>7.8750000000000001E-2</v>
      </c>
      <c r="BK194" s="543">
        <f t="shared" si="271"/>
        <v>1.1325421712802769E-2</v>
      </c>
      <c r="BL194" s="543">
        <f t="shared" si="272"/>
        <v>2.3013610839843747E-2</v>
      </c>
      <c r="BM194">
        <f t="shared" si="273"/>
        <v>2.6099999999999999E-3</v>
      </c>
      <c r="BN194" s="470">
        <f t="shared" si="274"/>
        <v>342.01910642152939</v>
      </c>
      <c r="BO194" s="543">
        <f t="shared" si="275"/>
        <v>0.26880000000000004</v>
      </c>
      <c r="BR194" s="470">
        <f t="shared" si="276"/>
        <v>268.8</v>
      </c>
      <c r="BS194" s="543">
        <f t="shared" si="277"/>
        <v>8.2298208679593754E-2</v>
      </c>
      <c r="BT194" s="543">
        <f t="shared" si="278"/>
        <v>6.0463990050313762E-2</v>
      </c>
      <c r="BU194" s="543">
        <f t="shared" si="279"/>
        <v>0</v>
      </c>
      <c r="BV194" s="543">
        <f t="shared" si="280"/>
        <v>9.0947368421052666E-2</v>
      </c>
      <c r="BW194" s="470">
        <f t="shared" si="281"/>
        <v>233.7095671509602</v>
      </c>
      <c r="BX194" s="178">
        <f t="shared" si="282"/>
        <v>0.84452867357248962</v>
      </c>
      <c r="BY194" s="6">
        <f t="shared" si="283"/>
        <v>8.0640000000000001</v>
      </c>
      <c r="BZ194" s="178">
        <f t="shared" si="284"/>
        <v>0.90519998256526724</v>
      </c>
      <c r="CA194" s="6">
        <f t="shared" si="285"/>
        <v>90.519998256526719</v>
      </c>
      <c r="CD194" s="577">
        <f t="shared" si="313"/>
        <v>-50</v>
      </c>
      <c r="CE194">
        <f t="shared" si="314"/>
        <v>-50</v>
      </c>
    </row>
    <row r="195" spans="5:83" x14ac:dyDescent="0.2">
      <c r="E195" s="175">
        <v>85</v>
      </c>
      <c r="F195" s="222">
        <f t="shared" si="315"/>
        <v>0.68</v>
      </c>
      <c r="G195" s="222"/>
      <c r="H195" s="222">
        <f t="shared" si="286"/>
        <v>8.16</v>
      </c>
      <c r="I195" s="556">
        <f t="shared" si="287"/>
        <v>9</v>
      </c>
      <c r="J195" s="452">
        <f t="shared" si="288"/>
        <v>12.25</v>
      </c>
      <c r="K195" s="452">
        <f t="shared" si="289"/>
        <v>21.25</v>
      </c>
      <c r="L195" s="452"/>
      <c r="M195" s="222">
        <f t="shared" si="290"/>
        <v>0.57647058823529407</v>
      </c>
      <c r="N195" s="177">
        <f t="shared" si="291"/>
        <v>10.104088235294114</v>
      </c>
      <c r="O195" s="177">
        <f t="shared" si="231"/>
        <v>8.16</v>
      </c>
      <c r="P195" s="222">
        <f t="shared" si="292"/>
        <v>0.84200735294117612</v>
      </c>
      <c r="Q195" s="222">
        <f t="shared" si="293"/>
        <v>12</v>
      </c>
      <c r="R195" s="222"/>
      <c r="S195" s="177">
        <f t="shared" si="294"/>
        <v>16.906878034392978</v>
      </c>
      <c r="T195" s="551">
        <f t="shared" si="295"/>
        <v>12</v>
      </c>
      <c r="U195" s="222">
        <f t="shared" si="296"/>
        <v>3.3111349803079135</v>
      </c>
      <c r="V195" s="222">
        <f t="shared" si="297"/>
        <v>2.575327206906155</v>
      </c>
      <c r="W195" s="222">
        <f t="shared" si="298"/>
        <v>1.892077131604522</v>
      </c>
      <c r="X195" s="202">
        <f t="shared" si="299"/>
        <v>350</v>
      </c>
      <c r="Y195" s="452">
        <f t="shared" si="265"/>
        <v>223.84362914716053</v>
      </c>
      <c r="AA195" s="222">
        <f t="shared" si="300"/>
        <v>2.1176470588235294</v>
      </c>
      <c r="AB195" s="178">
        <f t="shared" si="301"/>
        <v>1.2100840336134453</v>
      </c>
      <c r="AC195" s="178">
        <f t="shared" si="302"/>
        <v>0.4484429065743944</v>
      </c>
      <c r="AD195" s="178"/>
      <c r="AE195" s="178">
        <f t="shared" si="303"/>
        <v>0.46857142857142853</v>
      </c>
      <c r="AF195" s="560">
        <f>MAX(12000,F195/(0.5*AE195/1000000*Isw_min*Nps))/1000</f>
        <v>3539.5597858417618</v>
      </c>
      <c r="AG195" s="543">
        <f t="shared" si="304"/>
        <v>6.723999999999998E-2</v>
      </c>
      <c r="AI195" s="178">
        <f t="shared" si="305"/>
        <v>2.6076809620810595</v>
      </c>
      <c r="AJ195" s="178">
        <f t="shared" si="306"/>
        <v>3.3111349803079135</v>
      </c>
      <c r="AK195" s="178">
        <f t="shared" si="307"/>
        <v>3.0452851705984547</v>
      </c>
      <c r="AM195" s="560">
        <f t="shared" si="308"/>
        <v>680</v>
      </c>
      <c r="AN195" s="470">
        <f t="shared" si="309"/>
        <v>223.84362914716053</v>
      </c>
      <c r="AP195">
        <f t="shared" si="310"/>
        <v>680</v>
      </c>
      <c r="AQ195">
        <f t="shared" si="311"/>
        <v>223.84362914716053</v>
      </c>
      <c r="AS195" s="6">
        <f t="shared" si="232"/>
        <v>4.4674043385106774</v>
      </c>
      <c r="AT195" s="6">
        <f t="shared" si="312"/>
        <v>2.575327206906155</v>
      </c>
      <c r="AU195" s="6">
        <f t="shared" si="266"/>
        <v>1.8920771316045224</v>
      </c>
      <c r="AV195" s="6"/>
      <c r="AW195" s="178">
        <f t="shared" si="267"/>
        <v>0.57647058823529407</v>
      </c>
      <c r="AX195" s="178">
        <f t="shared" si="228"/>
        <v>8.5894736842105281</v>
      </c>
      <c r="AY195" s="178">
        <f t="shared" si="229"/>
        <v>0.70118152524167587</v>
      </c>
      <c r="AZ195" s="178">
        <f t="shared" si="233"/>
        <v>12.249999999999998</v>
      </c>
      <c r="BA195" s="470">
        <f>L*Isw_max^2/(2*Vout_ripple*Vout)*1000000000*((1+M195)/2)^2</f>
        <v>25.385458958093036</v>
      </c>
      <c r="BB195" s="470">
        <f>L*F195^2/(2*Cout*Vout*Nps^2)*1000000000*((1+M195)/(1-M195))^2+F195*RCoutEsr</f>
        <v>41.796794501357148</v>
      </c>
      <c r="BC195" s="6">
        <f t="shared" si="268"/>
        <v>2.6752175687923589</v>
      </c>
      <c r="BD195" s="470">
        <f>((BY195/I195/Efficiency)*AU195/Cin+(BY195/I195/Efficiency)*RCinEsr)*1000</f>
        <v>183.4403437882211</v>
      </c>
      <c r="BF195" s="178">
        <f t="shared" si="234"/>
        <v>1.4514592090113945</v>
      </c>
      <c r="BG195" s="178">
        <f t="shared" si="230"/>
        <v>1.2441078934383383</v>
      </c>
      <c r="BI195" s="543">
        <f t="shared" si="269"/>
        <v>0.23174072189663814</v>
      </c>
      <c r="BJ195" s="543">
        <f t="shared" si="270"/>
        <v>7.8749999999999987E-2</v>
      </c>
      <c r="BK195" s="543">
        <f t="shared" si="271"/>
        <v>1.1192181457358025E-2</v>
      </c>
      <c r="BL195" s="543">
        <f t="shared" si="272"/>
        <v>2.2742862477022053E-2</v>
      </c>
      <c r="BM195">
        <f t="shared" si="273"/>
        <v>2.6099999999999999E-3</v>
      </c>
      <c r="BN195" s="470">
        <f t="shared" si="274"/>
        <v>347.03576583101818</v>
      </c>
      <c r="BO195" s="543">
        <f t="shared" si="275"/>
        <v>0.27200000000000002</v>
      </c>
      <c r="BR195" s="470">
        <f t="shared" si="276"/>
        <v>272</v>
      </c>
      <c r="BS195" s="543">
        <f t="shared" si="277"/>
        <v>8.4269353416959319E-2</v>
      </c>
      <c r="BT195" s="543">
        <f t="shared" si="278"/>
        <v>6.1912178020623189E-2</v>
      </c>
      <c r="BU195" s="543">
        <f t="shared" si="279"/>
        <v>0</v>
      </c>
      <c r="BV195" s="543">
        <f t="shared" si="280"/>
        <v>9.2030075187969962E-2</v>
      </c>
      <c r="BW195" s="470">
        <f t="shared" si="281"/>
        <v>238.21160662555246</v>
      </c>
      <c r="BX195" s="178">
        <f t="shared" si="282"/>
        <v>0.85724737245657057</v>
      </c>
      <c r="BY195" s="6">
        <f t="shared" si="283"/>
        <v>8.16</v>
      </c>
      <c r="BZ195" s="178">
        <f t="shared" si="284"/>
        <v>0.90493247694689449</v>
      </c>
      <c r="CA195" s="6">
        <f t="shared" si="285"/>
        <v>90.493247694689444</v>
      </c>
      <c r="CD195" s="577">
        <f t="shared" si="313"/>
        <v>-50</v>
      </c>
      <c r="CE195">
        <f t="shared" si="314"/>
        <v>-50</v>
      </c>
    </row>
    <row r="196" spans="5:83" x14ac:dyDescent="0.2">
      <c r="E196" s="175">
        <v>86</v>
      </c>
      <c r="F196" s="222">
        <f t="shared" si="315"/>
        <v>0.68800000000000006</v>
      </c>
      <c r="G196" s="222"/>
      <c r="H196" s="222">
        <f t="shared" si="286"/>
        <v>8.2560000000000002</v>
      </c>
      <c r="I196" s="556">
        <f t="shared" si="287"/>
        <v>9</v>
      </c>
      <c r="J196" s="452">
        <f t="shared" si="288"/>
        <v>12.25</v>
      </c>
      <c r="K196" s="452">
        <f t="shared" si="289"/>
        <v>21.25</v>
      </c>
      <c r="L196" s="452"/>
      <c r="M196" s="222">
        <f t="shared" si="290"/>
        <v>0.57647058823529407</v>
      </c>
      <c r="N196" s="177">
        <f t="shared" si="291"/>
        <v>10.104088235294114</v>
      </c>
      <c r="O196" s="177">
        <f t="shared" si="231"/>
        <v>8.2560000000000002</v>
      </c>
      <c r="P196" s="222">
        <f t="shared" si="292"/>
        <v>0.84200735294117612</v>
      </c>
      <c r="Q196" s="222">
        <f t="shared" si="293"/>
        <v>12</v>
      </c>
      <c r="R196" s="222"/>
      <c r="S196" s="177">
        <f t="shared" si="294"/>
        <v>16.609473566167637</v>
      </c>
      <c r="T196" s="551">
        <f t="shared" si="295"/>
        <v>12</v>
      </c>
      <c r="U196" s="222">
        <f t="shared" si="296"/>
        <v>3.3500895094880065</v>
      </c>
      <c r="V196" s="222">
        <f t="shared" si="297"/>
        <v>2.6056251740462271</v>
      </c>
      <c r="W196" s="222">
        <f t="shared" si="298"/>
        <v>1.9143368625645751</v>
      </c>
      <c r="X196" s="202">
        <f t="shared" si="299"/>
        <v>350</v>
      </c>
      <c r="Y196" s="452">
        <f t="shared" si="265"/>
        <v>221.24079625010057</v>
      </c>
      <c r="AA196" s="222">
        <f t="shared" si="300"/>
        <v>2.1176470588235294</v>
      </c>
      <c r="AB196" s="178">
        <f t="shared" si="301"/>
        <v>1.2100840336134453</v>
      </c>
      <c r="AC196" s="178">
        <f t="shared" si="302"/>
        <v>0.4484429065743944</v>
      </c>
      <c r="AD196" s="178"/>
      <c r="AE196" s="178">
        <f t="shared" si="303"/>
        <v>0.46857142857142853</v>
      </c>
      <c r="AF196" s="560">
        <f>MAX(12000,F196/(0.5*AE196/1000000*Isw_min*Nps))/1000</f>
        <v>3581.2016656751944</v>
      </c>
      <c r="AG196" s="543">
        <f t="shared" si="304"/>
        <v>6.723999999999998E-2</v>
      </c>
      <c r="AI196" s="178">
        <f t="shared" si="305"/>
        <v>2.6229754097208002</v>
      </c>
      <c r="AJ196" s="178">
        <f t="shared" si="306"/>
        <v>3.3500895094880065</v>
      </c>
      <c r="AK196" s="178">
        <f t="shared" si="307"/>
        <v>3.0741403773985234</v>
      </c>
      <c r="AM196" s="560">
        <f t="shared" si="308"/>
        <v>688</v>
      </c>
      <c r="AN196" s="470">
        <f t="shared" si="309"/>
        <v>221.24079625010057</v>
      </c>
      <c r="AP196">
        <f t="shared" si="310"/>
        <v>688</v>
      </c>
      <c r="AQ196">
        <f t="shared" si="311"/>
        <v>221.24079625010057</v>
      </c>
      <c r="AS196" s="6">
        <f t="shared" si="232"/>
        <v>4.519962036610802</v>
      </c>
      <c r="AT196" s="6">
        <f t="shared" si="312"/>
        <v>2.6056251740462271</v>
      </c>
      <c r="AU196" s="6">
        <f t="shared" si="266"/>
        <v>1.9143368625645749</v>
      </c>
      <c r="AV196" s="6"/>
      <c r="AW196" s="178">
        <f t="shared" si="267"/>
        <v>0.57647058823529418</v>
      </c>
      <c r="AX196" s="178">
        <f t="shared" si="228"/>
        <v>8.6905263157894765</v>
      </c>
      <c r="AY196" s="178">
        <f t="shared" si="229"/>
        <v>0.70943071965628368</v>
      </c>
      <c r="AZ196" s="178">
        <f t="shared" si="233"/>
        <v>12.250000000000002</v>
      </c>
      <c r="BA196" s="470">
        <f>L*Isw_max^2/(2*Vout_ripple*Vout)*1000000000*((1+M196)/2)^2</f>
        <v>25.385458958093036</v>
      </c>
      <c r="BB196" s="470">
        <f>L*F196^2/(2*Cout*Vout*Nps^2)*1000000000*((1+M196)/(1-M196))^2+F196*RCoutEsr</f>
        <v>42.761751160143604</v>
      </c>
      <c r="BC196" s="6">
        <f t="shared" si="268"/>
        <v>2.7385341368565097</v>
      </c>
      <c r="BD196" s="470">
        <f>((BY196/I196/Efficiency)*AU196/Cin+(BY196/I196/Efficiency)*RCinEsr)*1000</f>
        <v>187.74789634307757</v>
      </c>
      <c r="BF196" s="178">
        <f t="shared" si="234"/>
        <v>1.4685351997056464</v>
      </c>
      <c r="BG196" s="178">
        <f t="shared" si="230"/>
        <v>1.2587444568905537</v>
      </c>
      <c r="BI196" s="543">
        <f t="shared" si="269"/>
        <v>0.23722551960519531</v>
      </c>
      <c r="BJ196" s="543">
        <f t="shared" si="270"/>
        <v>7.8750000000000014E-2</v>
      </c>
      <c r="BK196" s="543">
        <f t="shared" si="271"/>
        <v>1.1062039812505028E-2</v>
      </c>
      <c r="BL196" s="543">
        <f t="shared" si="272"/>
        <v>2.247841058775436E-2</v>
      </c>
      <c r="BM196">
        <f t="shared" si="273"/>
        <v>2.6099999999999999E-3</v>
      </c>
      <c r="BN196" s="470">
        <f t="shared" si="274"/>
        <v>352.12597000545469</v>
      </c>
      <c r="BO196" s="543">
        <f t="shared" si="275"/>
        <v>0.27520000000000006</v>
      </c>
      <c r="BR196" s="470">
        <f t="shared" si="276"/>
        <v>275.20000000000005</v>
      </c>
      <c r="BS196" s="543">
        <f t="shared" si="277"/>
        <v>8.6263825310980119E-2</v>
      </c>
      <c r="BT196" s="543">
        <f t="shared" si="278"/>
        <v>6.3377504310107802E-2</v>
      </c>
      <c r="BU196" s="543">
        <f t="shared" si="279"/>
        <v>0</v>
      </c>
      <c r="BV196" s="543">
        <f t="shared" si="280"/>
        <v>9.3112781954887272E-2</v>
      </c>
      <c r="BW196" s="470">
        <f t="shared" si="281"/>
        <v>242.7541115759752</v>
      </c>
      <c r="BX196" s="178">
        <f t="shared" si="282"/>
        <v>0.87008008158142991</v>
      </c>
      <c r="BY196" s="6">
        <f t="shared" si="283"/>
        <v>8.2560000000000002</v>
      </c>
      <c r="BZ196" s="178">
        <f t="shared" si="284"/>
        <v>0.90466004310684767</v>
      </c>
      <c r="CA196" s="6">
        <f t="shared" si="285"/>
        <v>90.466004310684767</v>
      </c>
      <c r="CD196" s="577">
        <f t="shared" si="313"/>
        <v>-50</v>
      </c>
      <c r="CE196">
        <f t="shared" si="314"/>
        <v>-50</v>
      </c>
    </row>
    <row r="197" spans="5:83" x14ac:dyDescent="0.2">
      <c r="E197" s="175">
        <v>87</v>
      </c>
      <c r="F197" s="222">
        <f t="shared" si="315"/>
        <v>0.69600000000000006</v>
      </c>
      <c r="G197" s="222"/>
      <c r="H197" s="222">
        <f t="shared" si="286"/>
        <v>8.3520000000000003</v>
      </c>
      <c r="I197" s="556">
        <f t="shared" si="287"/>
        <v>9</v>
      </c>
      <c r="J197" s="452">
        <f t="shared" si="288"/>
        <v>12.25</v>
      </c>
      <c r="K197" s="452">
        <f t="shared" si="289"/>
        <v>21.25</v>
      </c>
      <c r="L197" s="452"/>
      <c r="M197" s="222">
        <f t="shared" si="290"/>
        <v>0.57647058823529407</v>
      </c>
      <c r="N197" s="177">
        <f t="shared" si="291"/>
        <v>10.104088235294114</v>
      </c>
      <c r="O197" s="177">
        <f t="shared" si="231"/>
        <v>8.3520000000000003</v>
      </c>
      <c r="P197" s="222">
        <f t="shared" si="292"/>
        <v>0.84200735294117612</v>
      </c>
      <c r="Q197" s="222">
        <f t="shared" si="293"/>
        <v>12</v>
      </c>
      <c r="R197" s="222"/>
      <c r="S197" s="177">
        <f t="shared" si="294"/>
        <v>16.31898553688114</v>
      </c>
      <c r="T197" s="551">
        <f t="shared" si="295"/>
        <v>12</v>
      </c>
      <c r="U197" s="222">
        <f t="shared" si="296"/>
        <v>3.3890440386680996</v>
      </c>
      <c r="V197" s="222">
        <f t="shared" si="297"/>
        <v>2.6359231411862996</v>
      </c>
      <c r="W197" s="222">
        <f t="shared" si="298"/>
        <v>1.9365965935246281</v>
      </c>
      <c r="X197" s="202">
        <f t="shared" si="299"/>
        <v>350</v>
      </c>
      <c r="Y197" s="452">
        <f t="shared" si="265"/>
        <v>218.69779859205343</v>
      </c>
      <c r="AA197" s="222">
        <f t="shared" si="300"/>
        <v>2.1176470588235294</v>
      </c>
      <c r="AB197" s="178">
        <f t="shared" si="301"/>
        <v>1.2100840336134453</v>
      </c>
      <c r="AC197" s="178">
        <f t="shared" si="302"/>
        <v>0.4484429065743944</v>
      </c>
      <c r="AD197" s="178"/>
      <c r="AE197" s="178">
        <f t="shared" si="303"/>
        <v>0.46857142857142853</v>
      </c>
      <c r="AF197" s="560">
        <f>MAX(12000,F197/(0.5*AE197/1000000*Isw_min*Nps))/1000</f>
        <v>3622.8435455086269</v>
      </c>
      <c r="AG197" s="543">
        <f t="shared" si="304"/>
        <v>6.723999999999998E-2</v>
      </c>
      <c r="AI197" s="178">
        <f t="shared" si="305"/>
        <v>2.6381811916545841</v>
      </c>
      <c r="AJ197" s="178">
        <f t="shared" si="306"/>
        <v>3.3890440386680996</v>
      </c>
      <c r="AK197" s="178">
        <f t="shared" si="307"/>
        <v>3.1029955841985926</v>
      </c>
      <c r="AM197" s="560">
        <f t="shared" si="308"/>
        <v>696.00000000000011</v>
      </c>
      <c r="AN197" s="470">
        <f t="shared" si="309"/>
        <v>218.69779859205343</v>
      </c>
      <c r="AP197">
        <f t="shared" si="310"/>
        <v>696.00000000000011</v>
      </c>
      <c r="AQ197">
        <f t="shared" si="311"/>
        <v>218.69779859205343</v>
      </c>
      <c r="AS197" s="6">
        <f t="shared" si="232"/>
        <v>4.5725197347109274</v>
      </c>
      <c r="AT197" s="6">
        <f t="shared" si="312"/>
        <v>2.6359231411862996</v>
      </c>
      <c r="AU197" s="6">
        <f t="shared" si="266"/>
        <v>1.9365965935246279</v>
      </c>
      <c r="AV197" s="6"/>
      <c r="AW197" s="178">
        <f t="shared" si="267"/>
        <v>0.57647058823529418</v>
      </c>
      <c r="AX197" s="178">
        <f t="shared" ref="AX197:AX210" si="316">0.5*L*AJ197^2*AN197*1000</f>
        <v>8.7915789473684249</v>
      </c>
      <c r="AY197" s="178">
        <f t="shared" ref="AY197:AY210" si="317">AJ197*Nps/2*(1-AW197)</f>
        <v>0.7176799140708916</v>
      </c>
      <c r="AZ197" s="178">
        <f t="shared" si="233"/>
        <v>12.250000000000004</v>
      </c>
      <c r="BA197" s="470">
        <f>L*Isw_max^2/(2*Vout_ripple*Vout)*1000000000*((1+M197)/2)^2</f>
        <v>25.385458958093036</v>
      </c>
      <c r="BB197" s="470">
        <f>L*F197^2/(2*Cout*Vout*Nps^2)*1000000000*((1+M197)/(1-M197))^2+F197*RCoutEsr</f>
        <v>43.737713159968479</v>
      </c>
      <c r="BC197" s="6">
        <f t="shared" si="268"/>
        <v>2.8025912495763818</v>
      </c>
      <c r="BD197" s="470">
        <f>((BY197/I197/Efficiency)*AU197/Cin+(BY197/I197/Efficiency)*RCinEsr)*1000</f>
        <v>192.10543566219525</v>
      </c>
      <c r="BF197" s="178">
        <f t="shared" si="234"/>
        <v>1.4856111903998979</v>
      </c>
      <c r="BG197" s="178">
        <f t="shared" ref="BG197:BG210" si="318">AJ197*Nps*SQRT((1-AW197)/3)</f>
        <v>1.2733810203427696</v>
      </c>
      <c r="BI197" s="543">
        <f t="shared" si="269"/>
        <v>0.24277446699455416</v>
      </c>
      <c r="BJ197" s="543">
        <f t="shared" si="270"/>
        <v>7.8750000000000001E-2</v>
      </c>
      <c r="BK197" s="543">
        <f t="shared" si="271"/>
        <v>1.0934889929602672E-2</v>
      </c>
      <c r="BL197" s="543">
        <f t="shared" si="272"/>
        <v>2.2220038052262931E-2</v>
      </c>
      <c r="BM197">
        <f t="shared" si="273"/>
        <v>2.6099999999999999E-3</v>
      </c>
      <c r="BN197" s="470">
        <f t="shared" si="274"/>
        <v>357.28939497641977</v>
      </c>
      <c r="BO197" s="543">
        <f t="shared" si="275"/>
        <v>0.27840000000000004</v>
      </c>
      <c r="BR197" s="470">
        <f t="shared" si="276"/>
        <v>278.40000000000003</v>
      </c>
      <c r="BS197" s="543">
        <f t="shared" si="277"/>
        <v>8.8281624361656055E-2</v>
      </c>
      <c r="BT197" s="543">
        <f t="shared" si="278"/>
        <v>6.4859968918767719E-2</v>
      </c>
      <c r="BU197" s="543">
        <f t="shared" si="279"/>
        <v>0</v>
      </c>
      <c r="BV197" s="543">
        <f t="shared" si="280"/>
        <v>9.4195488721804554E-2</v>
      </c>
      <c r="BW197" s="470">
        <f t="shared" si="281"/>
        <v>247.33708200222833</v>
      </c>
      <c r="BX197" s="178">
        <f t="shared" si="282"/>
        <v>0.88302647697864822</v>
      </c>
      <c r="BY197" s="6">
        <f t="shared" si="283"/>
        <v>8.3520000000000003</v>
      </c>
      <c r="BZ197" s="178">
        <f t="shared" si="284"/>
        <v>0.90438289709511033</v>
      </c>
      <c r="CA197" s="6">
        <f t="shared" si="285"/>
        <v>90.438289709511039</v>
      </c>
      <c r="CD197" s="577">
        <f t="shared" si="313"/>
        <v>-50</v>
      </c>
      <c r="CE197">
        <f t="shared" si="314"/>
        <v>-50</v>
      </c>
    </row>
    <row r="198" spans="5:83" x14ac:dyDescent="0.2">
      <c r="E198" s="175">
        <v>88</v>
      </c>
      <c r="F198" s="222">
        <f t="shared" si="315"/>
        <v>0.70400000000000007</v>
      </c>
      <c r="G198" s="222"/>
      <c r="H198" s="222">
        <f t="shared" si="286"/>
        <v>8.4480000000000004</v>
      </c>
      <c r="I198" s="556">
        <f t="shared" si="287"/>
        <v>9</v>
      </c>
      <c r="J198" s="452">
        <f t="shared" si="288"/>
        <v>12.25</v>
      </c>
      <c r="K198" s="452">
        <f t="shared" si="289"/>
        <v>21.25</v>
      </c>
      <c r="L198" s="452"/>
      <c r="M198" s="222">
        <f t="shared" si="290"/>
        <v>0.57647058823529407</v>
      </c>
      <c r="N198" s="177">
        <f t="shared" si="291"/>
        <v>10.104088235294114</v>
      </c>
      <c r="O198" s="177">
        <f t="shared" ref="O198:O262" si="319">T198*F198</f>
        <v>8.4480000000000004</v>
      </c>
      <c r="P198" s="222">
        <f t="shared" si="292"/>
        <v>0.84200735294117612</v>
      </c>
      <c r="Q198" s="222">
        <f t="shared" si="293"/>
        <v>12</v>
      </c>
      <c r="R198" s="222"/>
      <c r="S198" s="177">
        <f t="shared" si="294"/>
        <v>16.035179477322924</v>
      </c>
      <c r="T198" s="551">
        <f t="shared" si="295"/>
        <v>12</v>
      </c>
      <c r="U198" s="222">
        <f t="shared" si="296"/>
        <v>3.4279985678481926</v>
      </c>
      <c r="V198" s="222">
        <f t="shared" si="297"/>
        <v>2.666221108326372</v>
      </c>
      <c r="W198" s="222">
        <f t="shared" si="298"/>
        <v>1.9588563244846815</v>
      </c>
      <c r="X198" s="202">
        <f t="shared" si="299"/>
        <v>350</v>
      </c>
      <c r="Y198" s="452">
        <f t="shared" si="265"/>
        <v>216.21259633532551</v>
      </c>
      <c r="AA198" s="222">
        <f t="shared" si="300"/>
        <v>2.1176470588235294</v>
      </c>
      <c r="AB198" s="178">
        <f t="shared" si="301"/>
        <v>1.2100840336134453</v>
      </c>
      <c r="AC198" s="178">
        <f t="shared" si="302"/>
        <v>0.4484429065743944</v>
      </c>
      <c r="AD198" s="178"/>
      <c r="AE198" s="178">
        <f t="shared" si="303"/>
        <v>0.46857142857142853</v>
      </c>
      <c r="AF198" s="560">
        <f>MAX(12000,F198/(0.5*AE198/1000000*Isw_min*Nps))/1000</f>
        <v>3664.4854253420594</v>
      </c>
      <c r="AG198" s="543">
        <f t="shared" si="304"/>
        <v>6.723999999999998E-2</v>
      </c>
      <c r="AI198" s="178">
        <f t="shared" si="305"/>
        <v>2.6532998322843202</v>
      </c>
      <c r="AJ198" s="178">
        <f t="shared" si="306"/>
        <v>3.4279985678481926</v>
      </c>
      <c r="AK198" s="178">
        <f t="shared" si="307"/>
        <v>3.1318507909986613</v>
      </c>
      <c r="AM198" s="560">
        <f t="shared" si="308"/>
        <v>704.00000000000011</v>
      </c>
      <c r="AN198" s="470">
        <f t="shared" si="309"/>
        <v>216.21259633532551</v>
      </c>
      <c r="AP198">
        <f t="shared" si="310"/>
        <v>704.00000000000011</v>
      </c>
      <c r="AQ198">
        <f t="shared" si="311"/>
        <v>216.21259633532551</v>
      </c>
      <c r="AS198" s="6">
        <f t="shared" ref="AS198:AS263" si="320">1/AN198*1000</f>
        <v>4.6250774328110538</v>
      </c>
      <c r="AT198" s="6">
        <f t="shared" si="312"/>
        <v>2.666221108326372</v>
      </c>
      <c r="AU198" s="6">
        <f t="shared" si="266"/>
        <v>1.9588563244846817</v>
      </c>
      <c r="AV198" s="6"/>
      <c r="AW198" s="178">
        <f t="shared" si="267"/>
        <v>0.57647058823529407</v>
      </c>
      <c r="AX198" s="178">
        <f t="shared" si="316"/>
        <v>8.8926315789473716</v>
      </c>
      <c r="AY198" s="178">
        <f t="shared" si="317"/>
        <v>0.72592910848549974</v>
      </c>
      <c r="AZ198" s="178">
        <f t="shared" ref="AZ198:AZ210" si="321">AX198/AY198</f>
        <v>12.25</v>
      </c>
      <c r="BA198" s="470">
        <f>L*Isw_max^2/(2*Vout_ripple*Vout)*1000000000*((1+M198)/2)^2</f>
        <v>25.385458958093036</v>
      </c>
      <c r="BB198" s="470">
        <f>L*F198^2/(2*Cout*Vout*Nps^2)*1000000000*((1+M198)/(1-M198))^2+F198*RCoutEsr</f>
        <v>44.724680500831809</v>
      </c>
      <c r="BC198" s="6">
        <f t="shared" si="268"/>
        <v>2.8673889069519762</v>
      </c>
      <c r="BD198" s="470">
        <f>((BY198/I198/Efficiency)*AU198/Cin+(BY198/I198/Efficiency)*RCinEsr)*1000</f>
        <v>196.51296174557419</v>
      </c>
      <c r="BF198" s="178">
        <f t="shared" ref="BF198:BF210" si="322">AJ198*SQRT(AW198/3)</f>
        <v>1.5026871810941493</v>
      </c>
      <c r="BG198" s="178">
        <f t="shared" si="318"/>
        <v>1.2880175837949854</v>
      </c>
      <c r="BI198" s="543">
        <f t="shared" si="269"/>
        <v>0.24838756406471488</v>
      </c>
      <c r="BJ198" s="543">
        <f t="shared" si="270"/>
        <v>7.8750000000000001E-2</v>
      </c>
      <c r="BK198" s="543">
        <f t="shared" si="271"/>
        <v>1.0810629816766275E-2</v>
      </c>
      <c r="BL198" s="543">
        <f t="shared" si="272"/>
        <v>2.1967537619850847E-2</v>
      </c>
      <c r="BM198">
        <f t="shared" si="273"/>
        <v>2.6099999999999999E-3</v>
      </c>
      <c r="BN198" s="470">
        <f t="shared" si="274"/>
        <v>362.52573150133207</v>
      </c>
      <c r="BO198" s="543">
        <f t="shared" si="275"/>
        <v>0.28160000000000002</v>
      </c>
      <c r="BR198" s="470">
        <f t="shared" si="276"/>
        <v>281.60000000000002</v>
      </c>
      <c r="BS198" s="543">
        <f t="shared" si="277"/>
        <v>9.0322750568987226E-2</v>
      </c>
      <c r="BT198" s="543">
        <f t="shared" si="278"/>
        <v>6.6359571846602891E-2</v>
      </c>
      <c r="BU198" s="543">
        <f t="shared" si="279"/>
        <v>0</v>
      </c>
      <c r="BV198" s="543">
        <f t="shared" si="280"/>
        <v>9.5278195488721823E-2</v>
      </c>
      <c r="BW198" s="470">
        <f t="shared" si="281"/>
        <v>251.96051790431196</v>
      </c>
      <c r="BX198" s="178">
        <f t="shared" si="282"/>
        <v>0.89608624940564396</v>
      </c>
      <c r="BY198" s="6">
        <f t="shared" si="283"/>
        <v>8.4480000000000004</v>
      </c>
      <c r="BZ198" s="178">
        <f t="shared" si="284"/>
        <v>0.90410124377194812</v>
      </c>
      <c r="CA198" s="6">
        <f t="shared" si="285"/>
        <v>90.410124377194805</v>
      </c>
      <c r="CD198" s="577">
        <f t="shared" si="313"/>
        <v>-50</v>
      </c>
      <c r="CE198">
        <f t="shared" si="314"/>
        <v>-50</v>
      </c>
    </row>
    <row r="199" spans="5:83" x14ac:dyDescent="0.2">
      <c r="E199" s="175">
        <v>89</v>
      </c>
      <c r="F199" s="222">
        <f t="shared" si="315"/>
        <v>0.71200000000000008</v>
      </c>
      <c r="G199" s="222"/>
      <c r="H199" s="222">
        <f t="shared" si="286"/>
        <v>8.5440000000000005</v>
      </c>
      <c r="I199" s="556">
        <f t="shared" si="287"/>
        <v>9</v>
      </c>
      <c r="J199" s="452">
        <f t="shared" si="288"/>
        <v>12.25</v>
      </c>
      <c r="K199" s="452">
        <f t="shared" si="289"/>
        <v>21.25</v>
      </c>
      <c r="L199" s="452"/>
      <c r="M199" s="222">
        <f t="shared" si="290"/>
        <v>0.57647058823529407</v>
      </c>
      <c r="N199" s="177">
        <f t="shared" si="291"/>
        <v>10.104088235294114</v>
      </c>
      <c r="O199" s="177">
        <f t="shared" si="319"/>
        <v>8.5440000000000005</v>
      </c>
      <c r="P199" s="222">
        <f t="shared" si="292"/>
        <v>0.84200735294117612</v>
      </c>
      <c r="Q199" s="222">
        <f t="shared" si="293"/>
        <v>12</v>
      </c>
      <c r="R199" s="222"/>
      <c r="S199" s="177">
        <f t="shared" si="294"/>
        <v>15.757831483178016</v>
      </c>
      <c r="T199" s="551">
        <f t="shared" si="295"/>
        <v>12</v>
      </c>
      <c r="U199" s="222">
        <f t="shared" si="296"/>
        <v>3.466953097028286</v>
      </c>
      <c r="V199" s="222">
        <f t="shared" si="297"/>
        <v>2.6965190754664445</v>
      </c>
      <c r="W199" s="222">
        <f t="shared" si="298"/>
        <v>1.9811160554447349</v>
      </c>
      <c r="X199" s="202">
        <f t="shared" si="299"/>
        <v>350</v>
      </c>
      <c r="Y199" s="452">
        <f t="shared" si="265"/>
        <v>213.78324132032188</v>
      </c>
      <c r="AA199" s="222">
        <f t="shared" si="300"/>
        <v>2.1176470588235294</v>
      </c>
      <c r="AB199" s="178">
        <f t="shared" si="301"/>
        <v>1.2100840336134453</v>
      </c>
      <c r="AC199" s="178">
        <f t="shared" si="302"/>
        <v>0.4484429065743944</v>
      </c>
      <c r="AD199" s="178"/>
      <c r="AE199" s="178">
        <f t="shared" si="303"/>
        <v>0.46857142857142853</v>
      </c>
      <c r="AF199" s="560">
        <f>MAX(12000,F199/(0.5*AE199/1000000*Isw_min*Nps))/1000</f>
        <v>3706.127305175492</v>
      </c>
      <c r="AG199" s="543">
        <f t="shared" si="304"/>
        <v>6.723999999999998E-2</v>
      </c>
      <c r="AI199" s="178">
        <f t="shared" si="305"/>
        <v>2.668332812825267</v>
      </c>
      <c r="AJ199" s="178">
        <f t="shared" si="306"/>
        <v>3.466953097028286</v>
      </c>
      <c r="AK199" s="178">
        <f t="shared" si="307"/>
        <v>3.1607059977987308</v>
      </c>
      <c r="AM199" s="560">
        <f t="shared" si="308"/>
        <v>712.00000000000011</v>
      </c>
      <c r="AN199" s="470">
        <f t="shared" si="309"/>
        <v>213.78324132032188</v>
      </c>
      <c r="AP199">
        <f t="shared" si="310"/>
        <v>712.00000000000011</v>
      </c>
      <c r="AQ199">
        <f t="shared" si="311"/>
        <v>213.78324132032188</v>
      </c>
      <c r="AS199" s="6">
        <f t="shared" si="320"/>
        <v>4.6776351309111792</v>
      </c>
      <c r="AT199" s="6">
        <f t="shared" si="312"/>
        <v>2.6965190754664445</v>
      </c>
      <c r="AU199" s="6">
        <f t="shared" si="266"/>
        <v>1.9811160554447347</v>
      </c>
      <c r="AV199" s="6"/>
      <c r="AW199" s="178">
        <f t="shared" si="267"/>
        <v>0.57647058823529418</v>
      </c>
      <c r="AX199" s="178">
        <f t="shared" si="316"/>
        <v>8.9936842105263182</v>
      </c>
      <c r="AY199" s="178">
        <f t="shared" si="317"/>
        <v>0.73417830290010755</v>
      </c>
      <c r="AZ199" s="178">
        <f t="shared" si="321"/>
        <v>12.250000000000002</v>
      </c>
      <c r="BA199" s="470">
        <f>L*Isw_max^2/(2*Vout_ripple*Vout)*1000000000*((1+M199)/2)^2</f>
        <v>25.385458958093036</v>
      </c>
      <c r="BB199" s="470">
        <f>L*F199^2/(2*Cout*Vout*Nps^2)*1000000000*((1+M199)/(1-M199))^2+F199*RCoutEsr</f>
        <v>45.722653182733559</v>
      </c>
      <c r="BC199" s="6">
        <f t="shared" si="268"/>
        <v>2.9329271089832898</v>
      </c>
      <c r="BD199" s="470">
        <f>((BY199/I199/Efficiency)*AU199/Cin+(BY199/I199/Efficiency)*RCinEsr)*1000</f>
        <v>200.97047459321422</v>
      </c>
      <c r="BF199" s="178">
        <f t="shared" si="322"/>
        <v>1.5197631717884015</v>
      </c>
      <c r="BG199" s="178">
        <f t="shared" si="318"/>
        <v>1.3026541472472011</v>
      </c>
      <c r="BI199" s="543">
        <f t="shared" si="269"/>
        <v>0.25406481081567767</v>
      </c>
      <c r="BJ199" s="543">
        <f t="shared" si="270"/>
        <v>7.8750000000000014E-2</v>
      </c>
      <c r="BK199" s="543">
        <f t="shared" si="271"/>
        <v>1.0689162066016094E-2</v>
      </c>
      <c r="BL199" s="543">
        <f t="shared" si="272"/>
        <v>2.1720711354459268E-2</v>
      </c>
      <c r="BM199">
        <f t="shared" si="273"/>
        <v>2.6099999999999999E-3</v>
      </c>
      <c r="BN199" s="470">
        <f t="shared" si="274"/>
        <v>367.83468423615301</v>
      </c>
      <c r="BO199" s="543">
        <f t="shared" si="275"/>
        <v>0.28480000000000005</v>
      </c>
      <c r="BR199" s="470">
        <f t="shared" si="276"/>
        <v>284.80000000000007</v>
      </c>
      <c r="BS199" s="543">
        <f t="shared" si="277"/>
        <v>9.2387203932973685E-2</v>
      </c>
      <c r="BT199" s="543">
        <f t="shared" si="278"/>
        <v>6.7876313093613305E-2</v>
      </c>
      <c r="BU199" s="543">
        <f t="shared" si="279"/>
        <v>0</v>
      </c>
      <c r="BV199" s="543">
        <f t="shared" si="280"/>
        <v>9.6360902255639161E-2</v>
      </c>
      <c r="BW199" s="470">
        <f t="shared" si="281"/>
        <v>256.62441928222614</v>
      </c>
      <c r="BX199" s="178">
        <f t="shared" si="282"/>
        <v>0.90925910351837924</v>
      </c>
      <c r="BY199" s="6">
        <f t="shared" si="283"/>
        <v>8.5440000000000005</v>
      </c>
      <c r="BZ199" s="178">
        <f t="shared" si="284"/>
        <v>0.90381527750784219</v>
      </c>
      <c r="CA199" s="6">
        <f t="shared" si="285"/>
        <v>90.381527750784215</v>
      </c>
      <c r="CD199" s="577">
        <f t="shared" si="313"/>
        <v>-50</v>
      </c>
      <c r="CE199">
        <f t="shared" si="314"/>
        <v>-50</v>
      </c>
    </row>
    <row r="200" spans="5:83" x14ac:dyDescent="0.2">
      <c r="E200" s="175">
        <v>90</v>
      </c>
      <c r="F200" s="222">
        <f t="shared" si="315"/>
        <v>0.72000000000000008</v>
      </c>
      <c r="G200" s="222"/>
      <c r="H200" s="222">
        <f t="shared" si="286"/>
        <v>8.64</v>
      </c>
      <c r="I200" s="556">
        <f t="shared" si="287"/>
        <v>9</v>
      </c>
      <c r="J200" s="452">
        <f t="shared" si="288"/>
        <v>12.25</v>
      </c>
      <c r="K200" s="452">
        <f t="shared" si="289"/>
        <v>21.25</v>
      </c>
      <c r="L200" s="452"/>
      <c r="M200" s="222">
        <f t="shared" si="290"/>
        <v>0.57647058823529407</v>
      </c>
      <c r="N200" s="177">
        <f t="shared" si="291"/>
        <v>10.104088235294114</v>
      </c>
      <c r="O200" s="177">
        <f t="shared" si="319"/>
        <v>8.64</v>
      </c>
      <c r="P200" s="222">
        <f t="shared" si="292"/>
        <v>0.84200735294117612</v>
      </c>
      <c r="Q200" s="222">
        <f t="shared" si="293"/>
        <v>12</v>
      </c>
      <c r="R200" s="222"/>
      <c r="S200" s="177">
        <f t="shared" si="294"/>
        <v>15.486727628709486</v>
      </c>
      <c r="T200" s="551">
        <f t="shared" si="295"/>
        <v>12</v>
      </c>
      <c r="U200" s="222">
        <f t="shared" si="296"/>
        <v>3.505907626208379</v>
      </c>
      <c r="V200" s="222">
        <f t="shared" si="297"/>
        <v>2.7268170426065166</v>
      </c>
      <c r="W200" s="222">
        <f t="shared" si="298"/>
        <v>2.0033757864047881</v>
      </c>
      <c r="X200" s="202">
        <f t="shared" si="299"/>
        <v>350</v>
      </c>
      <c r="Y200" s="452">
        <f t="shared" si="265"/>
        <v>211.4078719723183</v>
      </c>
      <c r="AA200" s="222">
        <f t="shared" si="300"/>
        <v>2.1176470588235294</v>
      </c>
      <c r="AB200" s="178">
        <f t="shared" si="301"/>
        <v>1.2100840336134453</v>
      </c>
      <c r="AC200" s="178">
        <f t="shared" si="302"/>
        <v>0.4484429065743944</v>
      </c>
      <c r="AD200" s="178"/>
      <c r="AE200" s="178">
        <f t="shared" si="303"/>
        <v>0.46857142857142853</v>
      </c>
      <c r="AF200" s="560">
        <f>MAX(12000,F200/(0.5*AE200/1000000*Isw_min*Nps))/1000</f>
        <v>3747.7691850089245</v>
      </c>
      <c r="AG200" s="543">
        <f t="shared" si="304"/>
        <v>6.723999999999998E-2</v>
      </c>
      <c r="AI200" s="178">
        <f t="shared" si="305"/>
        <v>2.6832815729997477</v>
      </c>
      <c r="AJ200" s="178">
        <f t="shared" si="306"/>
        <v>3.505907626208379</v>
      </c>
      <c r="AK200" s="178">
        <f t="shared" si="307"/>
        <v>3.1895612045987995</v>
      </c>
      <c r="AM200" s="560">
        <f t="shared" si="308"/>
        <v>720.00000000000011</v>
      </c>
      <c r="AN200" s="470">
        <f t="shared" si="309"/>
        <v>211.4078719723183</v>
      </c>
      <c r="AP200">
        <f t="shared" si="310"/>
        <v>720.00000000000011</v>
      </c>
      <c r="AQ200">
        <f t="shared" si="311"/>
        <v>211.4078719723183</v>
      </c>
      <c r="AS200" s="6">
        <f t="shared" si="320"/>
        <v>4.7301928290113047</v>
      </c>
      <c r="AT200" s="6">
        <f t="shared" si="312"/>
        <v>2.7268170426065166</v>
      </c>
      <c r="AU200" s="6">
        <f t="shared" si="266"/>
        <v>2.0033757864047881</v>
      </c>
      <c r="AV200" s="6"/>
      <c r="AW200" s="178">
        <f t="shared" si="267"/>
        <v>0.57647058823529407</v>
      </c>
      <c r="AX200" s="178">
        <f t="shared" si="316"/>
        <v>9.0947368421052666</v>
      </c>
      <c r="AY200" s="178">
        <f t="shared" si="317"/>
        <v>0.74242749731471569</v>
      </c>
      <c r="AZ200" s="178">
        <f t="shared" si="321"/>
        <v>12.25</v>
      </c>
      <c r="BA200" s="470">
        <f>L*Isw_max^2/(2*Vout_ripple*Vout)*1000000000*((1+M200)/2)^2</f>
        <v>25.385458958093036</v>
      </c>
      <c r="BB200" s="470">
        <f>L*F200^2/(2*Cout*Vout*Nps^2)*1000000000*((1+M200)/(1-M200))^2+F200*RCoutEsr</f>
        <v>46.731631205673764</v>
      </c>
      <c r="BC200" s="6">
        <f t="shared" si="268"/>
        <v>2.9992058556703265</v>
      </c>
      <c r="BD200" s="470">
        <f>((BY200/I200/Efficiency)*AU200/Cin+(BY200/I200/Efficiency)*RCinEsr)*1000</f>
        <v>205.47797420511543</v>
      </c>
      <c r="BF200" s="178">
        <f t="shared" si="322"/>
        <v>1.536839162482653</v>
      </c>
      <c r="BG200" s="178">
        <f t="shared" si="318"/>
        <v>1.3172907106994169</v>
      </c>
      <c r="BI200" s="543">
        <f t="shared" si="269"/>
        <v>0.25980620724744202</v>
      </c>
      <c r="BJ200" s="543">
        <f t="shared" si="270"/>
        <v>7.8750000000000014E-2</v>
      </c>
      <c r="BK200" s="543">
        <f t="shared" si="271"/>
        <v>1.0570393598615915E-2</v>
      </c>
      <c r="BL200" s="543">
        <f t="shared" si="272"/>
        <v>2.1479370117187497E-2</v>
      </c>
      <c r="BM200">
        <f t="shared" si="273"/>
        <v>2.6099999999999999E-3</v>
      </c>
      <c r="BN200" s="470">
        <f t="shared" si="274"/>
        <v>373.21597096324541</v>
      </c>
      <c r="BO200" s="543">
        <f t="shared" si="275"/>
        <v>0.28800000000000003</v>
      </c>
      <c r="BR200" s="470">
        <f t="shared" si="276"/>
        <v>288.00000000000006</v>
      </c>
      <c r="BS200" s="543">
        <f t="shared" si="277"/>
        <v>9.4474984453615282E-2</v>
      </c>
      <c r="BT200" s="543">
        <f t="shared" si="278"/>
        <v>6.9410192659799003E-2</v>
      </c>
      <c r="BU200" s="543">
        <f t="shared" si="279"/>
        <v>0</v>
      </c>
      <c r="BV200" s="543">
        <f t="shared" si="280"/>
        <v>9.7443609022556443E-2</v>
      </c>
      <c r="BW200" s="470">
        <f t="shared" si="281"/>
        <v>261.32878613597069</v>
      </c>
      <c r="BX200" s="178">
        <f t="shared" si="282"/>
        <v>0.92254475709921613</v>
      </c>
      <c r="BY200" s="6">
        <f t="shared" si="283"/>
        <v>8.64</v>
      </c>
      <c r="BZ200" s="178">
        <f t="shared" si="284"/>
        <v>0.90352518283228744</v>
      </c>
      <c r="CA200" s="6">
        <f t="shared" si="285"/>
        <v>90.352518283228747</v>
      </c>
      <c r="CD200" s="577">
        <f t="shared" si="313"/>
        <v>-50</v>
      </c>
      <c r="CE200">
        <f t="shared" si="314"/>
        <v>-50</v>
      </c>
    </row>
    <row r="201" spans="5:83" x14ac:dyDescent="0.2">
      <c r="E201" s="175">
        <v>91</v>
      </c>
      <c r="F201" s="222">
        <f t="shared" si="315"/>
        <v>0.72800000000000009</v>
      </c>
      <c r="G201" s="222"/>
      <c r="H201" s="222">
        <f t="shared" si="286"/>
        <v>8.7360000000000007</v>
      </c>
      <c r="I201" s="556">
        <f t="shared" si="287"/>
        <v>9</v>
      </c>
      <c r="J201" s="452">
        <f t="shared" si="288"/>
        <v>12.25</v>
      </c>
      <c r="K201" s="452">
        <f t="shared" si="289"/>
        <v>21.25</v>
      </c>
      <c r="L201" s="452"/>
      <c r="M201" s="222">
        <f t="shared" si="290"/>
        <v>0.57647058823529407</v>
      </c>
      <c r="N201" s="177">
        <f t="shared" si="291"/>
        <v>10.104088235294114</v>
      </c>
      <c r="O201" s="177">
        <f t="shared" si="319"/>
        <v>8.7360000000000007</v>
      </c>
      <c r="P201" s="222">
        <f t="shared" si="292"/>
        <v>0.84200735294117612</v>
      </c>
      <c r="Q201" s="222">
        <f t="shared" si="293"/>
        <v>12</v>
      </c>
      <c r="R201" s="222"/>
      <c r="S201" s="177">
        <f t="shared" si="294"/>
        <v>15.221663419113769</v>
      </c>
      <c r="T201" s="551">
        <f t="shared" si="295"/>
        <v>12</v>
      </c>
      <c r="U201" s="222">
        <f t="shared" si="296"/>
        <v>3.544862155388472</v>
      </c>
      <c r="V201" s="222">
        <f t="shared" si="297"/>
        <v>2.7571150097465891</v>
      </c>
      <c r="W201" s="222">
        <f t="shared" si="298"/>
        <v>2.025635517364841</v>
      </c>
      <c r="X201" s="202">
        <f t="shared" si="299"/>
        <v>350</v>
      </c>
      <c r="Y201" s="452">
        <f t="shared" si="265"/>
        <v>209.08470854405107</v>
      </c>
      <c r="AA201" s="222">
        <f t="shared" si="300"/>
        <v>2.1176470588235294</v>
      </c>
      <c r="AB201" s="178">
        <f t="shared" si="301"/>
        <v>1.2100840336134453</v>
      </c>
      <c r="AC201" s="178">
        <f t="shared" si="302"/>
        <v>0.4484429065743944</v>
      </c>
      <c r="AD201" s="178"/>
      <c r="AE201" s="178">
        <f t="shared" si="303"/>
        <v>0.46857142857142853</v>
      </c>
      <c r="AF201" s="560">
        <f>MAX(12000,F201/(0.5*AE201/1000000*Isw_min*Nps))/1000</f>
        <v>3789.4110648423566</v>
      </c>
      <c r="AG201" s="543">
        <f t="shared" si="304"/>
        <v>6.723999999999998E-2</v>
      </c>
      <c r="AI201" s="178">
        <f t="shared" si="305"/>
        <v>2.6981475126464085</v>
      </c>
      <c r="AJ201" s="178">
        <f t="shared" si="306"/>
        <v>3.544862155388472</v>
      </c>
      <c r="AK201" s="178">
        <f t="shared" si="307"/>
        <v>3.2184164113988682</v>
      </c>
      <c r="AM201" s="560">
        <f t="shared" si="308"/>
        <v>728.00000000000011</v>
      </c>
      <c r="AN201" s="470">
        <f t="shared" si="309"/>
        <v>209.08470854405107</v>
      </c>
      <c r="AP201">
        <f t="shared" si="310"/>
        <v>728.00000000000011</v>
      </c>
      <c r="AQ201">
        <f t="shared" si="311"/>
        <v>209.08470854405107</v>
      </c>
      <c r="AS201" s="6">
        <f t="shared" si="320"/>
        <v>4.782750527111431</v>
      </c>
      <c r="AT201" s="6">
        <f t="shared" si="312"/>
        <v>2.7571150097465891</v>
      </c>
      <c r="AU201" s="6">
        <f t="shared" si="266"/>
        <v>2.0256355173648419</v>
      </c>
      <c r="AV201" s="6"/>
      <c r="AW201" s="178">
        <f t="shared" si="267"/>
        <v>0.57647058823529396</v>
      </c>
      <c r="AX201" s="178">
        <f t="shared" si="316"/>
        <v>9.195789473684215</v>
      </c>
      <c r="AY201" s="178">
        <f t="shared" si="317"/>
        <v>0.75067669172932383</v>
      </c>
      <c r="AZ201" s="178">
        <f t="shared" si="321"/>
        <v>12.249999999999998</v>
      </c>
      <c r="BA201" s="470">
        <f>L*Isw_max^2/(2*Vout_ripple*Vout)*1000000000*((1+M201)/2)^2</f>
        <v>25.385458958093036</v>
      </c>
      <c r="BB201" s="470">
        <f>L*F201^2/(2*Cout*Vout*Nps^2)*1000000000*((1+M201)/(1-M201))^2+F201*RCoutEsr</f>
        <v>47.751614569652396</v>
      </c>
      <c r="BC201" s="6">
        <f t="shared" si="268"/>
        <v>3.0662251470130837</v>
      </c>
      <c r="BD201" s="470">
        <f>((BY201/I201/Efficiency)*AU201/Cin+(BY201/I201/Efficiency)*RCinEsr)*1000</f>
        <v>210.03546058127796</v>
      </c>
      <c r="BF201" s="178">
        <f t="shared" si="322"/>
        <v>1.5539151531769044</v>
      </c>
      <c r="BG201" s="178">
        <f t="shared" si="318"/>
        <v>1.3319272741516328</v>
      </c>
      <c r="BI201" s="543">
        <f t="shared" si="269"/>
        <v>0.26561175336000825</v>
      </c>
      <c r="BJ201" s="543">
        <f t="shared" si="270"/>
        <v>7.8750000000000014E-2</v>
      </c>
      <c r="BK201" s="543">
        <f t="shared" si="271"/>
        <v>1.0454235427202552E-2</v>
      </c>
      <c r="BL201" s="543">
        <f t="shared" si="272"/>
        <v>2.1243333082932688E-2</v>
      </c>
      <c r="BM201">
        <f t="shared" si="273"/>
        <v>2.6099999999999999E-3</v>
      </c>
      <c r="BN201" s="470">
        <f t="shared" si="274"/>
        <v>378.66932187014351</v>
      </c>
      <c r="BO201" s="543">
        <f t="shared" si="275"/>
        <v>0.29120000000000007</v>
      </c>
      <c r="BR201" s="470">
        <f t="shared" si="276"/>
        <v>291.20000000000005</v>
      </c>
      <c r="BS201" s="543">
        <f t="shared" si="277"/>
        <v>9.6586092130912085E-2</v>
      </c>
      <c r="BT201" s="543">
        <f t="shared" si="278"/>
        <v>7.0961210545159956E-2</v>
      </c>
      <c r="BU201" s="543">
        <f t="shared" si="279"/>
        <v>0</v>
      </c>
      <c r="BV201" s="543">
        <f t="shared" si="280"/>
        <v>9.852631578947374E-2</v>
      </c>
      <c r="BW201" s="470">
        <f t="shared" si="281"/>
        <v>266.07361846554579</v>
      </c>
      <c r="BX201" s="178">
        <f t="shared" si="282"/>
        <v>0.93594294033568937</v>
      </c>
      <c r="BY201" s="6">
        <f t="shared" si="283"/>
        <v>8.7360000000000007</v>
      </c>
      <c r="BZ201" s="178">
        <f t="shared" si="284"/>
        <v>0.90323113503570718</v>
      </c>
      <c r="CA201" s="6">
        <f t="shared" si="285"/>
        <v>90.323113503570724</v>
      </c>
      <c r="CD201" s="577">
        <f t="shared" si="313"/>
        <v>-50</v>
      </c>
      <c r="CE201">
        <f t="shared" si="314"/>
        <v>-50</v>
      </c>
    </row>
    <row r="202" spans="5:83" x14ac:dyDescent="0.2">
      <c r="E202" s="175">
        <v>92</v>
      </c>
      <c r="F202" s="222">
        <f t="shared" si="315"/>
        <v>0.7360000000000001</v>
      </c>
      <c r="G202" s="222"/>
      <c r="H202" s="222">
        <f t="shared" si="286"/>
        <v>8.8320000000000007</v>
      </c>
      <c r="I202" s="556">
        <f t="shared" si="287"/>
        <v>9</v>
      </c>
      <c r="J202" s="452">
        <f t="shared" si="288"/>
        <v>12.25</v>
      </c>
      <c r="K202" s="452">
        <f t="shared" si="289"/>
        <v>21.25</v>
      </c>
      <c r="L202" s="452"/>
      <c r="M202" s="222">
        <f t="shared" si="290"/>
        <v>0.57647058823529407</v>
      </c>
      <c r="N202" s="177">
        <f t="shared" si="291"/>
        <v>10.104088235294114</v>
      </c>
      <c r="O202" s="177">
        <f t="shared" si="319"/>
        <v>8.8320000000000007</v>
      </c>
      <c r="P202" s="222">
        <f t="shared" si="292"/>
        <v>0.84200735294117612</v>
      </c>
      <c r="Q202" s="222">
        <f t="shared" si="293"/>
        <v>12</v>
      </c>
      <c r="R202" s="222"/>
      <c r="S202" s="177">
        <f t="shared" si="294"/>
        <v>14.962443278606671</v>
      </c>
      <c r="T202" s="551">
        <f t="shared" si="295"/>
        <v>12</v>
      </c>
      <c r="U202" s="222">
        <f t="shared" si="296"/>
        <v>3.5838166845685655</v>
      </c>
      <c r="V202" s="222">
        <f t="shared" si="297"/>
        <v>2.787412976886662</v>
      </c>
      <c r="W202" s="222">
        <f t="shared" si="298"/>
        <v>2.0478952483248944</v>
      </c>
      <c r="X202" s="202">
        <f t="shared" si="299"/>
        <v>350</v>
      </c>
      <c r="Y202" s="452">
        <f t="shared" si="265"/>
        <v>206.81204866857223</v>
      </c>
      <c r="AA202" s="222">
        <f t="shared" si="300"/>
        <v>2.1176470588235294</v>
      </c>
      <c r="AB202" s="178">
        <f t="shared" si="301"/>
        <v>1.2100840336134453</v>
      </c>
      <c r="AC202" s="178">
        <f t="shared" si="302"/>
        <v>0.4484429065743944</v>
      </c>
      <c r="AD202" s="178"/>
      <c r="AE202" s="178">
        <f t="shared" si="303"/>
        <v>0.46857142857142853</v>
      </c>
      <c r="AF202" s="560">
        <f>MAX(12000,F202/(0.5*AE202/1000000*Isw_min*Nps))/1000</f>
        <v>3831.0529446757896</v>
      </c>
      <c r="AG202" s="543">
        <f t="shared" si="304"/>
        <v>6.723999999999998E-2</v>
      </c>
      <c r="AI202" s="178">
        <f t="shared" si="305"/>
        <v>2.7129319932501077</v>
      </c>
      <c r="AJ202" s="178">
        <f t="shared" si="306"/>
        <v>3.5838166845685655</v>
      </c>
      <c r="AK202" s="178">
        <f t="shared" si="307"/>
        <v>3.2472716181989369</v>
      </c>
      <c r="AM202" s="560">
        <f t="shared" si="308"/>
        <v>736.00000000000011</v>
      </c>
      <c r="AN202" s="470">
        <f t="shared" si="309"/>
        <v>206.81204866857223</v>
      </c>
      <c r="AP202">
        <f t="shared" si="310"/>
        <v>736.00000000000011</v>
      </c>
      <c r="AQ202">
        <f t="shared" si="311"/>
        <v>206.81204866857223</v>
      </c>
      <c r="AS202" s="6">
        <f t="shared" si="320"/>
        <v>4.8353082252115556</v>
      </c>
      <c r="AT202" s="6">
        <f t="shared" si="312"/>
        <v>2.787412976886662</v>
      </c>
      <c r="AU202" s="6">
        <f t="shared" si="266"/>
        <v>2.0478952483248936</v>
      </c>
      <c r="AV202" s="6"/>
      <c r="AW202" s="178">
        <f t="shared" si="267"/>
        <v>0.57647058823529418</v>
      </c>
      <c r="AX202" s="178">
        <f t="shared" si="316"/>
        <v>9.2968421052631616</v>
      </c>
      <c r="AY202" s="178">
        <f t="shared" si="317"/>
        <v>0.75892588614393142</v>
      </c>
      <c r="AZ202" s="178">
        <f t="shared" si="321"/>
        <v>12.250000000000002</v>
      </c>
      <c r="BA202" s="470">
        <f>L*Isw_max^2/(2*Vout_ripple*Vout)*1000000000*((1+M202)/2)^2</f>
        <v>25.385458958093036</v>
      </c>
      <c r="BB202" s="470">
        <f>L*F202^2/(2*Cout*Vout*Nps^2)*1000000000*((1+M202)/(1-M202))^2+F202*RCoutEsr</f>
        <v>48.782603274669469</v>
      </c>
      <c r="BC202" s="6">
        <f t="shared" si="268"/>
        <v>3.1339849830115596</v>
      </c>
      <c r="BD202" s="470">
        <f>((BY202/I202/Efficiency)*AU202/Cin+(BY202/I202/Efficiency)*RCinEsr)*1000</f>
        <v>214.64293372170133</v>
      </c>
      <c r="BF202" s="178">
        <f t="shared" si="322"/>
        <v>1.5709911438711566</v>
      </c>
      <c r="BG202" s="178">
        <f t="shared" si="318"/>
        <v>1.3465638376038485</v>
      </c>
      <c r="BI202" s="543">
        <f t="shared" si="269"/>
        <v>0.27148144915337658</v>
      </c>
      <c r="BJ202" s="543">
        <f t="shared" si="270"/>
        <v>7.8750000000000014E-2</v>
      </c>
      <c r="BK202" s="543">
        <f t="shared" si="271"/>
        <v>1.0340602433428612E-2</v>
      </c>
      <c r="BL202" s="543">
        <f t="shared" si="272"/>
        <v>2.1012427288552984E-2</v>
      </c>
      <c r="BM202">
        <f t="shared" si="273"/>
        <v>2.6099999999999999E-3</v>
      </c>
      <c r="BN202" s="470">
        <f t="shared" si="274"/>
        <v>384.19447887535813</v>
      </c>
      <c r="BO202" s="543">
        <f t="shared" si="275"/>
        <v>0.29440000000000005</v>
      </c>
      <c r="BR202" s="470">
        <f t="shared" si="276"/>
        <v>294.40000000000003</v>
      </c>
      <c r="BS202" s="543">
        <f t="shared" si="277"/>
        <v>9.8720526964864205E-2</v>
      </c>
      <c r="BT202" s="543">
        <f t="shared" si="278"/>
        <v>7.252936674969615E-2</v>
      </c>
      <c r="BU202" s="543">
        <f t="shared" si="279"/>
        <v>0</v>
      </c>
      <c r="BV202" s="543">
        <f t="shared" si="280"/>
        <v>9.9609022556391036E-2</v>
      </c>
      <c r="BW202" s="470">
        <f t="shared" si="281"/>
        <v>270.8589162709514</v>
      </c>
      <c r="BX202" s="178">
        <f t="shared" si="282"/>
        <v>0.94945339514630955</v>
      </c>
      <c r="BY202" s="6">
        <f t="shared" si="283"/>
        <v>8.8320000000000007</v>
      </c>
      <c r="BZ202" s="178">
        <f t="shared" si="284"/>
        <v>0.90293330072835165</v>
      </c>
      <c r="CA202" s="6">
        <f t="shared" si="285"/>
        <v>90.293330072835161</v>
      </c>
      <c r="CD202" s="577">
        <f t="shared" si="313"/>
        <v>-50</v>
      </c>
      <c r="CE202">
        <f t="shared" si="314"/>
        <v>-50</v>
      </c>
    </row>
    <row r="203" spans="5:83" x14ac:dyDescent="0.2">
      <c r="E203" s="175">
        <v>93</v>
      </c>
      <c r="F203" s="222">
        <f t="shared" si="315"/>
        <v>0.74400000000000011</v>
      </c>
      <c r="G203" s="222"/>
      <c r="H203" s="222">
        <f t="shared" si="286"/>
        <v>8.9280000000000008</v>
      </c>
      <c r="I203" s="556">
        <f t="shared" si="287"/>
        <v>9</v>
      </c>
      <c r="J203" s="452">
        <f t="shared" si="288"/>
        <v>12.25</v>
      </c>
      <c r="K203" s="452">
        <f t="shared" si="289"/>
        <v>21.25</v>
      </c>
      <c r="L203" s="452"/>
      <c r="M203" s="222">
        <f t="shared" si="290"/>
        <v>0.57647058823529407</v>
      </c>
      <c r="N203" s="177">
        <f t="shared" si="291"/>
        <v>10.104088235294114</v>
      </c>
      <c r="O203" s="177">
        <f t="shared" si="319"/>
        <v>8.9280000000000008</v>
      </c>
      <c r="P203" s="222">
        <f t="shared" si="292"/>
        <v>0.84200735294117612</v>
      </c>
      <c r="Q203" s="222">
        <f t="shared" si="293"/>
        <v>12</v>
      </c>
      <c r="R203" s="222"/>
      <c r="S203" s="177">
        <f t="shared" si="294"/>
        <v>14.708880071550922</v>
      </c>
      <c r="T203" s="551">
        <f t="shared" si="295"/>
        <v>12</v>
      </c>
      <c r="U203" s="222">
        <f t="shared" si="296"/>
        <v>3.6227712137486585</v>
      </c>
      <c r="V203" s="222">
        <f t="shared" si="297"/>
        <v>2.8177109440267345</v>
      </c>
      <c r="W203" s="222">
        <f t="shared" si="298"/>
        <v>2.0701549792849478</v>
      </c>
      <c r="X203" s="202">
        <f t="shared" si="299"/>
        <v>350</v>
      </c>
      <c r="Y203" s="452">
        <f t="shared" si="265"/>
        <v>204.58826319901766</v>
      </c>
      <c r="AA203" s="222">
        <f t="shared" si="300"/>
        <v>2.1176470588235294</v>
      </c>
      <c r="AB203" s="178">
        <f t="shared" si="301"/>
        <v>1.2100840336134453</v>
      </c>
      <c r="AC203" s="178">
        <f t="shared" si="302"/>
        <v>0.4484429065743944</v>
      </c>
      <c r="AD203" s="178"/>
      <c r="AE203" s="178">
        <f t="shared" si="303"/>
        <v>0.46857142857142853</v>
      </c>
      <c r="AF203" s="560">
        <f>MAX(12000,F203/(0.5*AE203/1000000*Isw_min*Nps))/1000</f>
        <v>3872.6948245092221</v>
      </c>
      <c r="AG203" s="543">
        <f t="shared" si="304"/>
        <v>6.723999999999998E-2</v>
      </c>
      <c r="AI203" s="178">
        <f t="shared" si="305"/>
        <v>2.7276363393971712</v>
      </c>
      <c r="AJ203" s="178">
        <f t="shared" si="306"/>
        <v>3.6227712137486585</v>
      </c>
      <c r="AK203" s="178">
        <f t="shared" si="307"/>
        <v>3.2761268249990065</v>
      </c>
      <c r="AM203" s="560">
        <f t="shared" si="308"/>
        <v>744.00000000000011</v>
      </c>
      <c r="AN203" s="470">
        <f t="shared" si="309"/>
        <v>204.58826319901766</v>
      </c>
      <c r="AP203">
        <f t="shared" si="310"/>
        <v>744.00000000000011</v>
      </c>
      <c r="AQ203">
        <f t="shared" si="311"/>
        <v>204.58826319901766</v>
      </c>
      <c r="AS203" s="6">
        <f t="shared" si="320"/>
        <v>4.8878659233116819</v>
      </c>
      <c r="AT203" s="6">
        <f t="shared" si="312"/>
        <v>2.8177109440267345</v>
      </c>
      <c r="AU203" s="6">
        <f t="shared" si="266"/>
        <v>2.0701549792849474</v>
      </c>
      <c r="AV203" s="6"/>
      <c r="AW203" s="178">
        <f t="shared" si="267"/>
        <v>0.57647058823529418</v>
      </c>
      <c r="AX203" s="178">
        <f t="shared" si="316"/>
        <v>9.3978947368421064</v>
      </c>
      <c r="AY203" s="178">
        <f t="shared" si="317"/>
        <v>0.76717508055853934</v>
      </c>
      <c r="AZ203" s="178">
        <f t="shared" si="321"/>
        <v>12.25</v>
      </c>
      <c r="BA203" s="470">
        <f>L*Isw_max^2/(2*Vout_ripple*Vout)*1000000000*((1+M203)/2)^2</f>
        <v>25.385458958093036</v>
      </c>
      <c r="BB203" s="470">
        <f>L*F203^2/(2*Cout*Vout*Nps^2)*1000000000*((1+M203)/(1-M203))^2+F203*RCoutEsr</f>
        <v>49.824597320724983</v>
      </c>
      <c r="BC203" s="6">
        <f t="shared" si="268"/>
        <v>3.2024853636657591</v>
      </c>
      <c r="BD203" s="470">
        <f>((BY203/I203/Efficiency)*AU203/Cin+(BY203/I203/Efficiency)*RCinEsr)*1000</f>
        <v>219.30039362638612</v>
      </c>
      <c r="BF203" s="178">
        <f t="shared" si="322"/>
        <v>1.5880671345654083</v>
      </c>
      <c r="BG203" s="178">
        <f t="shared" si="318"/>
        <v>1.3612004010560641</v>
      </c>
      <c r="BI203" s="543">
        <f t="shared" si="269"/>
        <v>0.27741529462754649</v>
      </c>
      <c r="BJ203" s="543">
        <f t="shared" si="270"/>
        <v>7.8749999999999987E-2</v>
      </c>
      <c r="BK203" s="543">
        <f t="shared" si="271"/>
        <v>1.0229413159950882E-2</v>
      </c>
      <c r="BL203" s="543">
        <f t="shared" si="272"/>
        <v>2.0786487210181444E-2</v>
      </c>
      <c r="BM203">
        <f t="shared" si="273"/>
        <v>2.6099999999999999E-3</v>
      </c>
      <c r="BN203" s="470">
        <f t="shared" si="274"/>
        <v>389.79119499767882</v>
      </c>
      <c r="BO203" s="543">
        <f t="shared" si="275"/>
        <v>0.29760000000000003</v>
      </c>
      <c r="BR203" s="470">
        <f t="shared" si="276"/>
        <v>297.60000000000002</v>
      </c>
      <c r="BS203" s="543">
        <f t="shared" si="277"/>
        <v>0.10087828895547146</v>
      </c>
      <c r="BT203" s="543">
        <f t="shared" si="278"/>
        <v>7.4114661273407587E-2</v>
      </c>
      <c r="BU203" s="543">
        <f t="shared" si="279"/>
        <v>0</v>
      </c>
      <c r="BV203" s="543">
        <f t="shared" si="280"/>
        <v>0.10069172932330832</v>
      </c>
      <c r="BW203" s="470">
        <f t="shared" si="281"/>
        <v>275.68467955218739</v>
      </c>
      <c r="BX203" s="178">
        <f t="shared" si="282"/>
        <v>0.96307587454986621</v>
      </c>
      <c r="BY203" s="6">
        <f t="shared" si="283"/>
        <v>8.9280000000000008</v>
      </c>
      <c r="BZ203" s="178">
        <f t="shared" si="284"/>
        <v>0.90263183835967753</v>
      </c>
      <c r="CA203" s="6">
        <f t="shared" si="285"/>
        <v>90.263183835967752</v>
      </c>
      <c r="CD203" s="577">
        <f t="shared" si="313"/>
        <v>-50</v>
      </c>
      <c r="CE203">
        <f t="shared" si="314"/>
        <v>-50</v>
      </c>
    </row>
    <row r="204" spans="5:83" x14ac:dyDescent="0.2">
      <c r="E204" s="175">
        <v>94</v>
      </c>
      <c r="F204" s="222">
        <f t="shared" si="315"/>
        <v>0.752</v>
      </c>
      <c r="G204" s="222"/>
      <c r="H204" s="222">
        <f t="shared" si="286"/>
        <v>9.0240000000000009</v>
      </c>
      <c r="I204" s="556">
        <f t="shared" si="287"/>
        <v>9</v>
      </c>
      <c r="J204" s="452">
        <f t="shared" si="288"/>
        <v>12.25</v>
      </c>
      <c r="K204" s="452">
        <f t="shared" si="289"/>
        <v>21.25</v>
      </c>
      <c r="L204" s="452"/>
      <c r="M204" s="222">
        <f t="shared" si="290"/>
        <v>0.57647058823529407</v>
      </c>
      <c r="N204" s="177">
        <f t="shared" si="291"/>
        <v>10.104088235294114</v>
      </c>
      <c r="O204" s="177">
        <f t="shared" si="319"/>
        <v>9.0240000000000009</v>
      </c>
      <c r="P204" s="222">
        <f t="shared" si="292"/>
        <v>0.84200735294117612</v>
      </c>
      <c r="Q204" s="222">
        <f t="shared" si="293"/>
        <v>12</v>
      </c>
      <c r="R204" s="222"/>
      <c r="S204" s="177">
        <f t="shared" si="294"/>
        <v>14.460794654165015</v>
      </c>
      <c r="T204" s="551">
        <f t="shared" si="295"/>
        <v>12</v>
      </c>
      <c r="U204" s="222">
        <f t="shared" si="296"/>
        <v>3.6617257429287515</v>
      </c>
      <c r="V204" s="222">
        <f t="shared" si="297"/>
        <v>2.8480089111668065</v>
      </c>
      <c r="W204" s="222">
        <f t="shared" si="298"/>
        <v>2.0924147102450008</v>
      </c>
      <c r="X204" s="202">
        <f t="shared" si="299"/>
        <v>350</v>
      </c>
      <c r="Y204" s="452">
        <f t="shared" si="265"/>
        <v>202.41179231392175</v>
      </c>
      <c r="AA204" s="222">
        <f t="shared" si="300"/>
        <v>2.1176470588235294</v>
      </c>
      <c r="AB204" s="178">
        <f t="shared" si="301"/>
        <v>1.2100840336134453</v>
      </c>
      <c r="AC204" s="178">
        <f t="shared" si="302"/>
        <v>0.4484429065743944</v>
      </c>
      <c r="AD204" s="178"/>
      <c r="AE204" s="178">
        <f t="shared" si="303"/>
        <v>0.46857142857142853</v>
      </c>
      <c r="AF204" s="560">
        <f>MAX(12000,F204/(0.5*AE204/1000000*Isw_min*Nps))/1000</f>
        <v>3914.3367043426538</v>
      </c>
      <c r="AG204" s="543">
        <f t="shared" si="304"/>
        <v>6.723999999999998E-2</v>
      </c>
      <c r="AI204" s="178">
        <f t="shared" si="305"/>
        <v>2.7422618401604177</v>
      </c>
      <c r="AJ204" s="178">
        <f t="shared" si="306"/>
        <v>3.6617257429287515</v>
      </c>
      <c r="AK204" s="178">
        <f t="shared" si="307"/>
        <v>3.3049820317990752</v>
      </c>
      <c r="AM204" s="560">
        <f t="shared" si="308"/>
        <v>752</v>
      </c>
      <c r="AN204" s="470">
        <f t="shared" si="309"/>
        <v>202.41179231392175</v>
      </c>
      <c r="AP204">
        <f t="shared" si="310"/>
        <v>752</v>
      </c>
      <c r="AQ204">
        <f t="shared" si="311"/>
        <v>202.41179231392175</v>
      </c>
      <c r="AS204" s="6">
        <f t="shared" si="320"/>
        <v>4.9404236214118074</v>
      </c>
      <c r="AT204" s="6">
        <f t="shared" si="312"/>
        <v>2.8480089111668065</v>
      </c>
      <c r="AU204" s="6">
        <f t="shared" si="266"/>
        <v>2.0924147102450008</v>
      </c>
      <c r="AV204" s="6"/>
      <c r="AW204" s="178">
        <f t="shared" si="267"/>
        <v>0.57647058823529407</v>
      </c>
      <c r="AX204" s="178">
        <f t="shared" si="316"/>
        <v>9.4989473684210566</v>
      </c>
      <c r="AY204" s="178">
        <f t="shared" si="317"/>
        <v>0.77542427497314748</v>
      </c>
      <c r="AZ204" s="178">
        <f t="shared" si="321"/>
        <v>12.25</v>
      </c>
      <c r="BA204" s="470">
        <f>L*Isw_max^2/(2*Vout_ripple*Vout)*1000000000*((1+M204)/2)^2</f>
        <v>25.385458958093036</v>
      </c>
      <c r="BB204" s="470">
        <f>L*F204^2/(2*Cout*Vout*Nps^2)*1000000000*((1+M204)/(1-M204))^2+F204*RCoutEsr</f>
        <v>50.877596707818931</v>
      </c>
      <c r="BC204" s="6">
        <f t="shared" si="268"/>
        <v>3.2717262889756791</v>
      </c>
      <c r="BD204" s="470">
        <f>((BY204/I204/Efficiency)*AU204/Cin+(BY204/I204/Efficiency)*RCinEsr)*1000</f>
        <v>224.00784029533204</v>
      </c>
      <c r="BF204" s="178">
        <f t="shared" si="322"/>
        <v>1.6051431252596597</v>
      </c>
      <c r="BG204" s="178">
        <f t="shared" si="318"/>
        <v>1.37583696450828</v>
      </c>
      <c r="BI204" s="543">
        <f t="shared" si="269"/>
        <v>0.28341328978251829</v>
      </c>
      <c r="BJ204" s="543">
        <f t="shared" si="270"/>
        <v>7.8749999999999987E-2</v>
      </c>
      <c r="BK204" s="543">
        <f t="shared" si="271"/>
        <v>1.0120589615696087E-2</v>
      </c>
      <c r="BL204" s="543">
        <f t="shared" si="272"/>
        <v>2.0565354367519943E-2</v>
      </c>
      <c r="BM204">
        <f t="shared" si="273"/>
        <v>2.6099999999999999E-3</v>
      </c>
      <c r="BN204" s="470">
        <f t="shared" si="274"/>
        <v>395.45923376573427</v>
      </c>
      <c r="BO204" s="543">
        <f t="shared" si="275"/>
        <v>0.30080000000000001</v>
      </c>
      <c r="BR204" s="470">
        <f t="shared" si="276"/>
        <v>300.8</v>
      </c>
      <c r="BS204" s="543">
        <f t="shared" si="277"/>
        <v>0.10305937810273391</v>
      </c>
      <c r="BT204" s="543">
        <f t="shared" si="278"/>
        <v>7.571709411629432E-2</v>
      </c>
      <c r="BU204" s="543">
        <f t="shared" si="279"/>
        <v>0</v>
      </c>
      <c r="BV204" s="543">
        <f t="shared" si="280"/>
        <v>0.10177443609022561</v>
      </c>
      <c r="BW204" s="470">
        <f t="shared" si="281"/>
        <v>280.55090830925383</v>
      </c>
      <c r="BX204" s="178">
        <f t="shared" si="282"/>
        <v>0.97681014207498817</v>
      </c>
      <c r="BY204" s="6">
        <f t="shared" si="283"/>
        <v>9.0240000000000009</v>
      </c>
      <c r="BZ204" s="178">
        <f t="shared" si="284"/>
        <v>0.90232689870139682</v>
      </c>
      <c r="CA204" s="6">
        <f t="shared" si="285"/>
        <v>90.23268987013968</v>
      </c>
      <c r="CD204" s="577">
        <f t="shared" si="313"/>
        <v>-50</v>
      </c>
      <c r="CE204">
        <f t="shared" si="314"/>
        <v>-50</v>
      </c>
    </row>
    <row r="205" spans="5:83" x14ac:dyDescent="0.2">
      <c r="E205" s="175">
        <v>95</v>
      </c>
      <c r="F205" s="222">
        <f t="shared" si="315"/>
        <v>0.76</v>
      </c>
      <c r="G205" s="222"/>
      <c r="H205" s="222">
        <f t="shared" si="286"/>
        <v>9.120000000000001</v>
      </c>
      <c r="I205" s="556">
        <f t="shared" si="287"/>
        <v>9</v>
      </c>
      <c r="J205" s="452">
        <f t="shared" si="288"/>
        <v>12.25</v>
      </c>
      <c r="K205" s="452">
        <f t="shared" si="289"/>
        <v>21.25</v>
      </c>
      <c r="L205" s="452"/>
      <c r="M205" s="222">
        <f t="shared" si="290"/>
        <v>0.57647058823529407</v>
      </c>
      <c r="N205" s="177">
        <f t="shared" si="291"/>
        <v>10.104088235294114</v>
      </c>
      <c r="O205" s="177">
        <f t="shared" si="319"/>
        <v>9.120000000000001</v>
      </c>
      <c r="P205" s="222">
        <f t="shared" si="292"/>
        <v>0.84200735294117612</v>
      </c>
      <c r="Q205" s="222">
        <f t="shared" si="293"/>
        <v>12</v>
      </c>
      <c r="R205" s="222"/>
      <c r="S205" s="177">
        <f t="shared" si="294"/>
        <v>14.218015454560202</v>
      </c>
      <c r="T205" s="551">
        <f t="shared" si="295"/>
        <v>12</v>
      </c>
      <c r="U205" s="222">
        <f t="shared" si="296"/>
        <v>3.7006802721088445</v>
      </c>
      <c r="V205" s="222">
        <f t="shared" si="297"/>
        <v>2.878306878306879</v>
      </c>
      <c r="W205" s="222">
        <f t="shared" si="298"/>
        <v>2.1146744412050542</v>
      </c>
      <c r="X205" s="202">
        <f t="shared" si="299"/>
        <v>350</v>
      </c>
      <c r="Y205" s="452">
        <f t="shared" si="265"/>
        <v>200.28114186851204</v>
      </c>
      <c r="AA205" s="222">
        <f t="shared" si="300"/>
        <v>2.1176470588235294</v>
      </c>
      <c r="AB205" s="178">
        <f t="shared" si="301"/>
        <v>1.2100840336134453</v>
      </c>
      <c r="AC205" s="178">
        <f t="shared" si="302"/>
        <v>0.4484429065743944</v>
      </c>
      <c r="AD205" s="178"/>
      <c r="AE205" s="178">
        <f t="shared" si="303"/>
        <v>0.46857142857142853</v>
      </c>
      <c r="AF205" s="560">
        <f>MAX(12000,F205/(0.5*AE205/1000000*Isw_min*Nps))/1000</f>
        <v>3955.9785841760863</v>
      </c>
      <c r="AG205" s="543">
        <f t="shared" si="304"/>
        <v>6.723999999999998E-2</v>
      </c>
      <c r="AI205" s="178">
        <f t="shared" si="305"/>
        <v>2.7568097504180447</v>
      </c>
      <c r="AJ205" s="178">
        <f t="shared" si="306"/>
        <v>3.7006802721088445</v>
      </c>
      <c r="AK205" s="178">
        <f t="shared" si="307"/>
        <v>3.3338372385991439</v>
      </c>
      <c r="AM205" s="560">
        <f t="shared" si="308"/>
        <v>760</v>
      </c>
      <c r="AN205" s="470">
        <f t="shared" si="309"/>
        <v>200.28114186851204</v>
      </c>
      <c r="AP205">
        <f t="shared" si="310"/>
        <v>760</v>
      </c>
      <c r="AQ205">
        <f t="shared" si="311"/>
        <v>200.28114186851204</v>
      </c>
      <c r="AS205" s="6">
        <f t="shared" si="320"/>
        <v>4.9929813195119337</v>
      </c>
      <c r="AT205" s="6">
        <f t="shared" si="312"/>
        <v>2.878306878306879</v>
      </c>
      <c r="AU205" s="6">
        <f t="shared" si="266"/>
        <v>2.1146744412050547</v>
      </c>
      <c r="AV205" s="6"/>
      <c r="AW205" s="178">
        <f t="shared" si="267"/>
        <v>0.57647058823529407</v>
      </c>
      <c r="AX205" s="178">
        <f t="shared" si="316"/>
        <v>9.6000000000000014</v>
      </c>
      <c r="AY205" s="178">
        <f t="shared" si="317"/>
        <v>0.78367346938775539</v>
      </c>
      <c r="AZ205" s="178">
        <f t="shared" si="321"/>
        <v>12.249999999999996</v>
      </c>
      <c r="BA205" s="470">
        <f>L*Isw_max^2/(2*Vout_ripple*Vout)*1000000000*((1+M205)/2)^2</f>
        <v>25.385458958093036</v>
      </c>
      <c r="BB205" s="470">
        <f>L*F205^2/(2*Cout*Vout*Nps^2)*1000000000*((1+M205)/(1-M205))^2+F205*RCoutEsr</f>
        <v>51.941601435951306</v>
      </c>
      <c r="BC205" s="6">
        <f t="shared" si="268"/>
        <v>3.3417077589413218</v>
      </c>
      <c r="BD205" s="470">
        <f>((BY205/I205/Efficiency)*AU205/Cin+(BY205/I205/Efficiency)*RCinEsr)*1000</f>
        <v>228.76527372853926</v>
      </c>
      <c r="BF205" s="178">
        <f t="shared" si="322"/>
        <v>1.6222191159539114</v>
      </c>
      <c r="BG205" s="178">
        <f t="shared" si="318"/>
        <v>1.3904735279604956</v>
      </c>
      <c r="BI205" s="543">
        <f t="shared" si="269"/>
        <v>0.28947543461829189</v>
      </c>
      <c r="BJ205" s="543">
        <f t="shared" si="270"/>
        <v>7.8750000000000001E-2</v>
      </c>
      <c r="BK205" s="543">
        <f t="shared" si="271"/>
        <v>1.0014057093425602E-2</v>
      </c>
      <c r="BL205" s="543">
        <f t="shared" si="272"/>
        <v>2.0348876953124991E-2</v>
      </c>
      <c r="BM205">
        <f t="shared" si="273"/>
        <v>2.6099999999999999E-3</v>
      </c>
      <c r="BN205" s="470">
        <f t="shared" si="274"/>
        <v>401.19836866484246</v>
      </c>
      <c r="BO205" s="543">
        <f t="shared" si="275"/>
        <v>0.30400000000000005</v>
      </c>
      <c r="BR205" s="470">
        <f t="shared" si="276"/>
        <v>304.00000000000006</v>
      </c>
      <c r="BS205" s="543">
        <f t="shared" si="277"/>
        <v>0.1052637944066516</v>
      </c>
      <c r="BT205" s="543">
        <f t="shared" si="278"/>
        <v>7.7336665278356295E-2</v>
      </c>
      <c r="BU205" s="543">
        <f t="shared" si="279"/>
        <v>0</v>
      </c>
      <c r="BV205" s="543">
        <f t="shared" si="280"/>
        <v>0.1028571428571429</v>
      </c>
      <c r="BW205" s="470">
        <f t="shared" si="281"/>
        <v>285.45760254215082</v>
      </c>
      <c r="BX205" s="178">
        <f t="shared" si="282"/>
        <v>0.99065597120699322</v>
      </c>
      <c r="BY205" s="6">
        <f t="shared" si="283"/>
        <v>9.120000000000001</v>
      </c>
      <c r="BZ205" s="178">
        <f t="shared" si="284"/>
        <v>0.90201862529709542</v>
      </c>
      <c r="CA205" s="6">
        <f t="shared" si="285"/>
        <v>90.201862529709544</v>
      </c>
      <c r="CD205" s="577">
        <f t="shared" si="313"/>
        <v>-50</v>
      </c>
      <c r="CE205">
        <f t="shared" si="314"/>
        <v>-50</v>
      </c>
    </row>
    <row r="206" spans="5:83" x14ac:dyDescent="0.2">
      <c r="E206" s="175">
        <v>96</v>
      </c>
      <c r="F206" s="222">
        <f t="shared" si="315"/>
        <v>0.76800000000000002</v>
      </c>
      <c r="G206" s="222"/>
      <c r="H206" s="222">
        <f t="shared" ref="H206:H210" si="323">F206*Vout</f>
        <v>9.2160000000000011</v>
      </c>
      <c r="I206" s="556">
        <f t="shared" si="287"/>
        <v>9</v>
      </c>
      <c r="J206" s="452">
        <f t="shared" si="288"/>
        <v>12.25</v>
      </c>
      <c r="K206" s="452">
        <f t="shared" si="289"/>
        <v>21.25</v>
      </c>
      <c r="L206" s="452"/>
      <c r="M206" s="222">
        <f t="shared" si="290"/>
        <v>0.57647058823529407</v>
      </c>
      <c r="N206" s="177">
        <f t="shared" ref="N206:N210" si="324">M206*I206*Isw_max*0.5*Efficiency</f>
        <v>10.104088235294114</v>
      </c>
      <c r="O206" s="177">
        <f t="shared" si="319"/>
        <v>9.2160000000000011</v>
      </c>
      <c r="P206" s="222">
        <f t="shared" ref="P206:P210" si="325">N206/Vout</f>
        <v>0.84200735294117612</v>
      </c>
      <c r="Q206" s="222">
        <f t="shared" si="293"/>
        <v>12</v>
      </c>
      <c r="R206" s="222"/>
      <c r="S206" s="177">
        <f t="shared" si="294"/>
        <v>13.98037807904041</v>
      </c>
      <c r="T206" s="551">
        <f t="shared" ref="T206:T210" si="326">MIN(Vout, S206)</f>
        <v>12</v>
      </c>
      <c r="U206" s="222">
        <f t="shared" si="296"/>
        <v>3.739634801288938</v>
      </c>
      <c r="V206" s="222">
        <f t="shared" ref="V206:V210" si="327">L*U206/I206*1000000</f>
        <v>2.908604845446952</v>
      </c>
      <c r="W206" s="222">
        <f t="shared" si="298"/>
        <v>2.1369341721651076</v>
      </c>
      <c r="X206" s="202">
        <f t="shared" si="299"/>
        <v>350</v>
      </c>
      <c r="Y206" s="452">
        <f t="shared" si="265"/>
        <v>198.19487997404835</v>
      </c>
      <c r="AA206" s="222">
        <f t="shared" si="300"/>
        <v>2.1176470588235294</v>
      </c>
      <c r="AB206" s="178">
        <f t="shared" ref="AB206:AB210" si="328">L*AA206/J206*1000000</f>
        <v>1.2100840336134453</v>
      </c>
      <c r="AC206" s="178">
        <f t="shared" ref="AC206:AC210" si="329">0.5*AB206*AA206*Nps*X206/1000</f>
        <v>0.4484429065743944</v>
      </c>
      <c r="AD206" s="178"/>
      <c r="AE206" s="178">
        <f t="shared" si="303"/>
        <v>0.46857142857142853</v>
      </c>
      <c r="AF206" s="560">
        <f>MAX(12000,F206/(0.5*AE206/1000000*Isw_min*Nps))/1000</f>
        <v>3997.6204640095193</v>
      </c>
      <c r="AG206" s="543">
        <f t="shared" si="304"/>
        <v>6.723999999999998E-2</v>
      </c>
      <c r="AI206" s="178">
        <f t="shared" si="305"/>
        <v>2.7712812921102037</v>
      </c>
      <c r="AJ206" s="178">
        <f t="shared" ref="AJ206:AJ210" si="330">MAX(IF(F206&gt;AC206,U206,AI206),Isw_min)</f>
        <v>3.739634801288938</v>
      </c>
      <c r="AK206" s="178">
        <f t="shared" ref="AK206:AK210" si="331">IF(F206&gt;AG206, (AJ206-Isw_min)/1.08*0.8+1.2, AF206*0.2/350+1)</f>
        <v>3.3626924453992135</v>
      </c>
      <c r="AM206" s="560">
        <f t="shared" si="308"/>
        <v>768</v>
      </c>
      <c r="AN206" s="470">
        <f t="shared" si="309"/>
        <v>198.19487997404835</v>
      </c>
      <c r="AP206">
        <f t="shared" si="310"/>
        <v>768</v>
      </c>
      <c r="AQ206">
        <f t="shared" si="311"/>
        <v>198.19487997404835</v>
      </c>
      <c r="AS206" s="6">
        <f t="shared" si="320"/>
        <v>5.04553901761206</v>
      </c>
      <c r="AT206" s="6">
        <f t="shared" si="312"/>
        <v>2.908604845446952</v>
      </c>
      <c r="AU206" s="6">
        <f t="shared" si="266"/>
        <v>2.1369341721651081</v>
      </c>
      <c r="AV206" s="6"/>
      <c r="AW206" s="178">
        <f t="shared" si="267"/>
        <v>0.57647058823529407</v>
      </c>
      <c r="AX206" s="178">
        <f t="shared" si="316"/>
        <v>9.701052631578948</v>
      </c>
      <c r="AY206" s="178">
        <f t="shared" si="317"/>
        <v>0.79192266380236342</v>
      </c>
      <c r="AZ206" s="178">
        <f t="shared" si="321"/>
        <v>12.249999999999995</v>
      </c>
      <c r="BA206" s="470">
        <f>L*Isw_max^2/(2*Vout_ripple*Vout)*1000000000*((1+M206)/2)^2</f>
        <v>25.385458958093036</v>
      </c>
      <c r="BB206" s="470">
        <f>L*F206^2/(2*Cout*Vout*Nps^2)*1000000000*((1+M206)/(1-M206))^2+F206*RCoutEsr</f>
        <v>53.016611505122142</v>
      </c>
      <c r="BC206" s="6">
        <f t="shared" si="268"/>
        <v>3.4124297735626836</v>
      </c>
      <c r="BD206" s="470">
        <f>((BY206/I206/Efficiency)*AU206/Cin+(BY206/I206/Efficiency)*RCinEsr)*1000</f>
        <v>233.57269392600742</v>
      </c>
      <c r="BF206" s="178">
        <f t="shared" si="322"/>
        <v>1.6392951066481634</v>
      </c>
      <c r="BG206" s="178">
        <f t="shared" si="318"/>
        <v>1.4051100914127115</v>
      </c>
      <c r="BI206" s="543">
        <f t="shared" si="269"/>
        <v>0.29560172913486743</v>
      </c>
      <c r="BJ206" s="543">
        <f t="shared" si="270"/>
        <v>7.8749999999999987E-2</v>
      </c>
      <c r="BK206" s="543">
        <f t="shared" si="271"/>
        <v>9.9097439987024163E-3</v>
      </c>
      <c r="BL206" s="543">
        <f t="shared" si="272"/>
        <v>2.0136909484863269E-2</v>
      </c>
      <c r="BM206">
        <f t="shared" si="273"/>
        <v>2.6099999999999999E-3</v>
      </c>
      <c r="BN206" s="470">
        <f t="shared" si="274"/>
        <v>407.00838261843307</v>
      </c>
      <c r="BO206" s="543">
        <f t="shared" si="275"/>
        <v>0.30720000000000003</v>
      </c>
      <c r="BR206" s="470">
        <f t="shared" si="276"/>
        <v>307.20000000000005</v>
      </c>
      <c r="BS206" s="543">
        <f t="shared" si="277"/>
        <v>0.10749153786722453</v>
      </c>
      <c r="BT206" s="543">
        <f t="shared" si="278"/>
        <v>7.897337475959354E-2</v>
      </c>
      <c r="BU206" s="543">
        <f t="shared" si="279"/>
        <v>0</v>
      </c>
      <c r="BV206" s="543">
        <f t="shared" si="280"/>
        <v>0.10393984962406019</v>
      </c>
      <c r="BW206" s="470">
        <f t="shared" si="281"/>
        <v>290.40476225087832</v>
      </c>
      <c r="BX206" s="178">
        <f t="shared" si="282"/>
        <v>1.0046131448693114</v>
      </c>
      <c r="BY206" s="6">
        <f t="shared" si="283"/>
        <v>9.2160000000000011</v>
      </c>
      <c r="BZ206" s="178">
        <f t="shared" si="284"/>
        <v>0.90170715488105313</v>
      </c>
      <c r="CA206" s="6">
        <f t="shared" si="285"/>
        <v>90.170715488105316</v>
      </c>
      <c r="CD206" s="577">
        <f t="shared" si="313"/>
        <v>-50</v>
      </c>
      <c r="CE206">
        <f t="shared" si="314"/>
        <v>-50</v>
      </c>
    </row>
    <row r="207" spans="5:83" x14ac:dyDescent="0.2">
      <c r="E207" s="175">
        <v>97</v>
      </c>
      <c r="F207" s="222">
        <f t="shared" ref="F207:F210" si="332">IF(PLOT_TYPE=1, E207/100*Iout_max, min_I*EXP(N207*rr/100))</f>
        <v>0.77600000000000002</v>
      </c>
      <c r="G207" s="222"/>
      <c r="H207" s="222">
        <f t="shared" si="323"/>
        <v>9.3120000000000012</v>
      </c>
      <c r="I207" s="556">
        <f t="shared" si="287"/>
        <v>9</v>
      </c>
      <c r="J207" s="452">
        <f t="shared" si="288"/>
        <v>12.25</v>
      </c>
      <c r="K207" s="452">
        <f t="shared" si="289"/>
        <v>21.25</v>
      </c>
      <c r="L207" s="452"/>
      <c r="M207" s="222">
        <f t="shared" si="290"/>
        <v>0.57647058823529407</v>
      </c>
      <c r="N207" s="177">
        <f t="shared" si="324"/>
        <v>10.104088235294114</v>
      </c>
      <c r="O207" s="177">
        <f t="shared" si="319"/>
        <v>9.3120000000000012</v>
      </c>
      <c r="P207" s="222">
        <f t="shared" si="325"/>
        <v>0.84200735294117612</v>
      </c>
      <c r="Q207" s="222">
        <f t="shared" si="293"/>
        <v>12</v>
      </c>
      <c r="R207" s="222"/>
      <c r="S207" s="177">
        <f t="shared" si="294"/>
        <v>13.74772494276993</v>
      </c>
      <c r="T207" s="551">
        <f t="shared" si="326"/>
        <v>12</v>
      </c>
      <c r="U207" s="222">
        <f t="shared" si="296"/>
        <v>3.778589330469031</v>
      </c>
      <c r="V207" s="222">
        <f t="shared" si="327"/>
        <v>2.9389028125870245</v>
      </c>
      <c r="W207" s="222">
        <f t="shared" si="298"/>
        <v>2.1591939031251606</v>
      </c>
      <c r="X207" s="202">
        <f t="shared" si="299"/>
        <v>350</v>
      </c>
      <c r="Y207" s="452">
        <f t="shared" si="265"/>
        <v>196.15163378874891</v>
      </c>
      <c r="AA207" s="222">
        <f t="shared" si="300"/>
        <v>2.1176470588235294</v>
      </c>
      <c r="AB207" s="178">
        <f t="shared" si="328"/>
        <v>1.2100840336134453</v>
      </c>
      <c r="AC207" s="178">
        <f t="shared" si="329"/>
        <v>0.4484429065743944</v>
      </c>
      <c r="AD207" s="178"/>
      <c r="AE207" s="178">
        <f t="shared" si="303"/>
        <v>0.46857142857142853</v>
      </c>
      <c r="AF207" s="560">
        <f>MAX(12000,F207/(0.5*AE207/1000000*Isw_min*Nps))/1000</f>
        <v>4039.2623438429514</v>
      </c>
      <c r="AG207" s="543">
        <f t="shared" si="304"/>
        <v>6.723999999999998E-2</v>
      </c>
      <c r="AI207" s="178">
        <f t="shared" si="305"/>
        <v>2.7856776554368241</v>
      </c>
      <c r="AJ207" s="178">
        <f t="shared" si="330"/>
        <v>3.778589330469031</v>
      </c>
      <c r="AK207" s="178">
        <f t="shared" si="331"/>
        <v>3.3915476521992822</v>
      </c>
      <c r="AM207" s="560">
        <f t="shared" si="308"/>
        <v>776</v>
      </c>
      <c r="AN207" s="470">
        <f t="shared" si="309"/>
        <v>196.15163378874891</v>
      </c>
      <c r="AP207">
        <f t="shared" si="310"/>
        <v>776</v>
      </c>
      <c r="AQ207">
        <f t="shared" si="311"/>
        <v>196.15163378874891</v>
      </c>
      <c r="AS207" s="6">
        <f t="shared" si="320"/>
        <v>5.0980967157121846</v>
      </c>
      <c r="AT207" s="6">
        <f t="shared" si="312"/>
        <v>2.9389028125870245</v>
      </c>
      <c r="AU207" s="6">
        <f t="shared" si="266"/>
        <v>2.1591939031251601</v>
      </c>
      <c r="AV207" s="6"/>
      <c r="AW207" s="178">
        <f t="shared" si="267"/>
        <v>0.57647058823529418</v>
      </c>
      <c r="AX207" s="178">
        <f t="shared" si="316"/>
        <v>9.8021052631578964</v>
      </c>
      <c r="AY207" s="178">
        <f t="shared" si="317"/>
        <v>0.80017185821697112</v>
      </c>
      <c r="AZ207" s="178">
        <f t="shared" si="321"/>
        <v>12.25</v>
      </c>
      <c r="BA207" s="470">
        <f>L*Isw_max^2/(2*Vout_ripple*Vout)*1000000000*((1+M207)/2)^2</f>
        <v>25.385458958093036</v>
      </c>
      <c r="BB207" s="470">
        <f>L*F207^2/(2*Cout*Vout*Nps^2)*1000000000*((1+M207)/(1-M207))^2+F207*RCoutEsr</f>
        <v>54.102626915331399</v>
      </c>
      <c r="BC207" s="6">
        <f t="shared" si="268"/>
        <v>3.4838923328397651</v>
      </c>
      <c r="BD207" s="470">
        <f>((BY207/I207/Efficiency)*AU207/Cin+(BY207/I207/Efficiency)*RCinEsr)*1000</f>
        <v>238.43010088773678</v>
      </c>
      <c r="BF207" s="178">
        <f t="shared" si="322"/>
        <v>1.6563710973424151</v>
      </c>
      <c r="BG207" s="178">
        <f t="shared" si="318"/>
        <v>1.4197466548649271</v>
      </c>
      <c r="BI207" s="543">
        <f t="shared" si="269"/>
        <v>0.30179217333224478</v>
      </c>
      <c r="BJ207" s="543">
        <f t="shared" si="270"/>
        <v>7.8750000000000001E-2</v>
      </c>
      <c r="BK207" s="543">
        <f t="shared" si="271"/>
        <v>9.8075816894374456E-3</v>
      </c>
      <c r="BL207" s="543">
        <f t="shared" si="272"/>
        <v>1.9929312479864684E-2</v>
      </c>
      <c r="BM207">
        <f t="shared" si="273"/>
        <v>2.6099999999999999E-3</v>
      </c>
      <c r="BN207" s="470">
        <f t="shared" si="274"/>
        <v>412.88906750154689</v>
      </c>
      <c r="BO207" s="543">
        <f t="shared" si="275"/>
        <v>0.31040000000000001</v>
      </c>
      <c r="BR207" s="470">
        <f t="shared" si="276"/>
        <v>310.40000000000003</v>
      </c>
      <c r="BS207" s="543">
        <f t="shared" si="277"/>
        <v>0.10974260848445265</v>
      </c>
      <c r="BT207" s="543">
        <f t="shared" si="278"/>
        <v>8.0627222560006026E-2</v>
      </c>
      <c r="BU207" s="543">
        <f t="shared" si="279"/>
        <v>0</v>
      </c>
      <c r="BV207" s="543">
        <f t="shared" si="280"/>
        <v>0.10502255639097749</v>
      </c>
      <c r="BW207" s="470">
        <f t="shared" si="281"/>
        <v>295.39238743543615</v>
      </c>
      <c r="BX207" s="178">
        <f t="shared" si="282"/>
        <v>1.0186814549369829</v>
      </c>
      <c r="BY207" s="6">
        <f t="shared" si="283"/>
        <v>9.3120000000000012</v>
      </c>
      <c r="BZ207" s="178">
        <f t="shared" si="284"/>
        <v>0.90139261776867974</v>
      </c>
      <c r="CA207" s="6">
        <f t="shared" si="285"/>
        <v>90.139261776867968</v>
      </c>
      <c r="CD207" s="577">
        <f t="shared" si="313"/>
        <v>-50</v>
      </c>
      <c r="CE207">
        <f t="shared" si="314"/>
        <v>-50</v>
      </c>
    </row>
    <row r="208" spans="5:83" x14ac:dyDescent="0.2">
      <c r="E208" s="175">
        <v>98</v>
      </c>
      <c r="F208" s="222">
        <f t="shared" si="332"/>
        <v>0.78400000000000003</v>
      </c>
      <c r="G208" s="222"/>
      <c r="H208" s="222">
        <f t="shared" si="323"/>
        <v>9.4080000000000013</v>
      </c>
      <c r="I208" s="556">
        <f t="shared" si="287"/>
        <v>9</v>
      </c>
      <c r="J208" s="452">
        <f t="shared" si="288"/>
        <v>12.25</v>
      </c>
      <c r="K208" s="452">
        <f t="shared" si="289"/>
        <v>21.25</v>
      </c>
      <c r="L208" s="452"/>
      <c r="M208" s="222">
        <f t="shared" si="290"/>
        <v>0.57647058823529407</v>
      </c>
      <c r="N208" s="177">
        <f t="shared" si="324"/>
        <v>10.104088235294114</v>
      </c>
      <c r="O208" s="177">
        <f t="shared" si="319"/>
        <v>9.4080000000000013</v>
      </c>
      <c r="P208" s="222">
        <f t="shared" si="325"/>
        <v>0.84200735294117612</v>
      </c>
      <c r="Q208" s="222">
        <f t="shared" si="293"/>
        <v>12</v>
      </c>
      <c r="R208" s="222"/>
      <c r="S208" s="177">
        <f t="shared" si="294"/>
        <v>13.519904923068669</v>
      </c>
      <c r="T208" s="551">
        <f t="shared" si="326"/>
        <v>12</v>
      </c>
      <c r="U208" s="222">
        <f t="shared" si="296"/>
        <v>3.817543859649124</v>
      </c>
      <c r="V208" s="222">
        <f t="shared" si="327"/>
        <v>2.9692007797270965</v>
      </c>
      <c r="W208" s="222">
        <f t="shared" si="298"/>
        <v>2.1814536340852135</v>
      </c>
      <c r="X208" s="202">
        <f t="shared" si="299"/>
        <v>350</v>
      </c>
      <c r="Y208" s="452">
        <f t="shared" si="265"/>
        <v>194.15008650519025</v>
      </c>
      <c r="AA208" s="222">
        <f t="shared" si="300"/>
        <v>2.1176470588235294</v>
      </c>
      <c r="AB208" s="178">
        <f t="shared" si="328"/>
        <v>1.2100840336134453</v>
      </c>
      <c r="AC208" s="178">
        <f t="shared" si="329"/>
        <v>0.4484429065743944</v>
      </c>
      <c r="AD208" s="178"/>
      <c r="AE208" s="178">
        <f t="shared" si="303"/>
        <v>0.46857142857142853</v>
      </c>
      <c r="AF208" s="560">
        <f>MAX(12000,F208/(0.5*AE208/1000000*Isw_min*Nps))/1000</f>
        <v>4080.9042236763839</v>
      </c>
      <c r="AG208" s="543">
        <f t="shared" si="304"/>
        <v>6.723999999999998E-2</v>
      </c>
      <c r="AI208" s="178">
        <f t="shared" si="305"/>
        <v>2.8000000000000003</v>
      </c>
      <c r="AJ208" s="178">
        <f t="shared" si="330"/>
        <v>3.817543859649124</v>
      </c>
      <c r="AK208" s="178">
        <f t="shared" si="331"/>
        <v>3.4204028589993509</v>
      </c>
      <c r="AM208" s="560">
        <f t="shared" si="308"/>
        <v>784</v>
      </c>
      <c r="AN208" s="470">
        <f t="shared" si="309"/>
        <v>194.15008650519025</v>
      </c>
      <c r="AP208">
        <f t="shared" si="310"/>
        <v>784</v>
      </c>
      <c r="AQ208">
        <f t="shared" si="311"/>
        <v>194.15008650519025</v>
      </c>
      <c r="AS208" s="6">
        <f t="shared" si="320"/>
        <v>5.15065441381231</v>
      </c>
      <c r="AT208" s="6">
        <f t="shared" si="312"/>
        <v>2.9692007797270965</v>
      </c>
      <c r="AU208" s="6">
        <f t="shared" si="266"/>
        <v>2.1814536340852135</v>
      </c>
      <c r="AV208" s="6"/>
      <c r="AW208" s="178">
        <f t="shared" si="267"/>
        <v>0.57647058823529418</v>
      </c>
      <c r="AX208" s="178">
        <f t="shared" si="316"/>
        <v>9.9031578947368448</v>
      </c>
      <c r="AY208" s="178">
        <f t="shared" si="317"/>
        <v>0.80842105263157904</v>
      </c>
      <c r="AZ208" s="178">
        <f t="shared" si="321"/>
        <v>12.250000000000002</v>
      </c>
      <c r="BA208" s="470">
        <f>L*Isw_max^2/(2*Vout_ripple*Vout)*1000000000*((1+M208)/2)^2</f>
        <v>25.385458958093036</v>
      </c>
      <c r="BB208" s="470">
        <f>L*F208^2/(2*Cout*Vout*Nps^2)*1000000000*((1+M208)/(1-M208))^2+F208*RCoutEsr</f>
        <v>55.199647666579111</v>
      </c>
      <c r="BC208" s="6">
        <f t="shared" si="268"/>
        <v>3.5560954367725692</v>
      </c>
      <c r="BD208" s="470">
        <f>((BY208/I208/Efficiency)*AU208/Cin+(BY208/I208/Efficiency)*RCinEsr)*1000</f>
        <v>243.33749461372739</v>
      </c>
      <c r="BF208" s="178">
        <f t="shared" si="322"/>
        <v>1.6734470880366668</v>
      </c>
      <c r="BG208" s="178">
        <f t="shared" si="318"/>
        <v>1.4343832183171428</v>
      </c>
      <c r="BI208" s="543">
        <f t="shared" si="269"/>
        <v>0.3080467672104239</v>
      </c>
      <c r="BJ208" s="543">
        <f t="shared" si="270"/>
        <v>7.8750000000000001E-2</v>
      </c>
      <c r="BK208" s="543">
        <f t="shared" si="271"/>
        <v>9.7075043252595125E-3</v>
      </c>
      <c r="BL208" s="543">
        <f t="shared" si="272"/>
        <v>1.9725952148437493E-2</v>
      </c>
      <c r="BM208">
        <f t="shared" si="273"/>
        <v>2.6099999999999999E-3</v>
      </c>
      <c r="BN208" s="470">
        <f t="shared" si="274"/>
        <v>418.84022368412087</v>
      </c>
      <c r="BO208" s="543">
        <f t="shared" si="275"/>
        <v>0.31360000000000005</v>
      </c>
      <c r="BR208" s="470">
        <f t="shared" si="276"/>
        <v>313.60000000000002</v>
      </c>
      <c r="BS208" s="543">
        <f t="shared" si="277"/>
        <v>0.11201700625833598</v>
      </c>
      <c r="BT208" s="543">
        <f t="shared" si="278"/>
        <v>8.2298208679593754E-2</v>
      </c>
      <c r="BU208" s="543">
        <f t="shared" si="279"/>
        <v>0</v>
      </c>
      <c r="BV208" s="543">
        <f t="shared" si="280"/>
        <v>0.10610526315789477</v>
      </c>
      <c r="BW208" s="470">
        <f t="shared" si="281"/>
        <v>300.42047809582448</v>
      </c>
      <c r="BX208" s="178">
        <f t="shared" si="282"/>
        <v>1.0328607017799454</v>
      </c>
      <c r="BY208" s="6">
        <f t="shared" si="283"/>
        <v>9.4080000000000013</v>
      </c>
      <c r="BZ208" s="178">
        <f t="shared" si="284"/>
        <v>0.90107513822075369</v>
      </c>
      <c r="CA208" s="6">
        <f t="shared" si="285"/>
        <v>90.107513822075376</v>
      </c>
      <c r="CD208" s="577">
        <f t="shared" si="313"/>
        <v>-50</v>
      </c>
      <c r="CE208">
        <f t="shared" si="314"/>
        <v>-50</v>
      </c>
    </row>
    <row r="209" spans="5:85" x14ac:dyDescent="0.2">
      <c r="E209" s="175">
        <v>99</v>
      </c>
      <c r="F209" s="222">
        <f t="shared" si="332"/>
        <v>0.79200000000000004</v>
      </c>
      <c r="G209" s="222"/>
      <c r="H209" s="222">
        <f t="shared" si="323"/>
        <v>9.5040000000000013</v>
      </c>
      <c r="I209" s="556">
        <f t="shared" si="287"/>
        <v>9</v>
      </c>
      <c r="J209" s="452">
        <f t="shared" si="288"/>
        <v>12.25</v>
      </c>
      <c r="K209" s="452">
        <f t="shared" si="289"/>
        <v>21.25</v>
      </c>
      <c r="L209" s="452"/>
      <c r="M209" s="222">
        <f t="shared" si="290"/>
        <v>0.57647058823529407</v>
      </c>
      <c r="N209" s="177">
        <f t="shared" si="324"/>
        <v>10.104088235294114</v>
      </c>
      <c r="O209" s="177">
        <f t="shared" si="319"/>
        <v>9.5040000000000013</v>
      </c>
      <c r="P209" s="222">
        <f t="shared" si="325"/>
        <v>0.84200735294117612</v>
      </c>
      <c r="Q209" s="222">
        <f t="shared" si="293"/>
        <v>12</v>
      </c>
      <c r="R209" s="222"/>
      <c r="S209" s="177">
        <f t="shared" si="294"/>
        <v>13.296773033735279</v>
      </c>
      <c r="T209" s="551">
        <f t="shared" si="326"/>
        <v>12</v>
      </c>
      <c r="U209" s="222">
        <f t="shared" si="296"/>
        <v>3.856498388829217</v>
      </c>
      <c r="V209" s="222">
        <f t="shared" si="327"/>
        <v>2.9994987468671686</v>
      </c>
      <c r="W209" s="222">
        <f t="shared" si="298"/>
        <v>2.2037133650452669</v>
      </c>
      <c r="X209" s="202">
        <f t="shared" si="299"/>
        <v>350</v>
      </c>
      <c r="Y209" s="452">
        <f t="shared" si="265"/>
        <v>192.18897452028935</v>
      </c>
      <c r="AA209" s="222">
        <f t="shared" si="300"/>
        <v>2.1176470588235294</v>
      </c>
      <c r="AB209" s="178">
        <f t="shared" si="328"/>
        <v>1.2100840336134453</v>
      </c>
      <c r="AC209" s="178">
        <f t="shared" si="329"/>
        <v>0.4484429065743944</v>
      </c>
      <c r="AD209" s="178"/>
      <c r="AE209" s="178">
        <f t="shared" si="303"/>
        <v>0.46857142857142853</v>
      </c>
      <c r="AF209" s="560">
        <f>MAX(12000,F209/(0.5*AE209/1000000*Isw_min*Nps))/1000</f>
        <v>4122.5461035098169</v>
      </c>
      <c r="AG209" s="543">
        <f t="shared" si="304"/>
        <v>6.723999999999998E-2</v>
      </c>
      <c r="AI209" s="178">
        <f t="shared" si="305"/>
        <v>2.8142494558940578</v>
      </c>
      <c r="AJ209" s="178">
        <f t="shared" si="330"/>
        <v>3.856498388829217</v>
      </c>
      <c r="AK209" s="178">
        <f t="shared" si="331"/>
        <v>3.4492580657994196</v>
      </c>
      <c r="AM209" s="560">
        <f t="shared" si="308"/>
        <v>792</v>
      </c>
      <c r="AN209" s="470">
        <f t="shared" si="309"/>
        <v>192.18897452028935</v>
      </c>
      <c r="AP209">
        <f t="shared" si="310"/>
        <v>792</v>
      </c>
      <c r="AQ209">
        <f t="shared" si="311"/>
        <v>192.18897452028935</v>
      </c>
      <c r="AS209" s="6">
        <f t="shared" si="320"/>
        <v>5.2032121119124355</v>
      </c>
      <c r="AT209" s="6">
        <f t="shared" si="312"/>
        <v>2.9994987468671686</v>
      </c>
      <c r="AU209" s="6">
        <f t="shared" si="266"/>
        <v>2.2037133650452669</v>
      </c>
      <c r="AV209" s="6"/>
      <c r="AW209" s="178">
        <f t="shared" si="267"/>
        <v>0.57647058823529407</v>
      </c>
      <c r="AX209" s="178">
        <f t="shared" si="316"/>
        <v>10.004210526315793</v>
      </c>
      <c r="AY209" s="178">
        <f t="shared" si="317"/>
        <v>0.81667024704618718</v>
      </c>
      <c r="AZ209" s="178">
        <f t="shared" si="321"/>
        <v>12.25</v>
      </c>
      <c r="BA209" s="470">
        <f>L*Isw_max^2/(2*Vout_ripple*Vout)*1000000000*((1+M209)/2)^2</f>
        <v>25.385458958093036</v>
      </c>
      <c r="BB209" s="470">
        <f>L*F209^2/(2*Cout*Vout*Nps^2)*1000000000*((1+M209)/(1-M209))^2+F209*RCoutEsr</f>
        <v>56.307673758865242</v>
      </c>
      <c r="BC209" s="6">
        <f t="shared" si="268"/>
        <v>3.6290390853610948</v>
      </c>
      <c r="BD209" s="470">
        <f>((BY209/I209/Efficiency)*AU209/Cin+(BY209/I209/Efficiency)*RCinEsr)*1000</f>
        <v>248.29487510397919</v>
      </c>
      <c r="BF209" s="178">
        <f t="shared" si="322"/>
        <v>1.6905230787309182</v>
      </c>
      <c r="BG209" s="178">
        <f t="shared" si="318"/>
        <v>1.4490197817693586</v>
      </c>
      <c r="BI209" s="543">
        <f t="shared" si="269"/>
        <v>0.31436551076940489</v>
      </c>
      <c r="BJ209" s="543">
        <f t="shared" si="270"/>
        <v>7.8750000000000001E-2</v>
      </c>
      <c r="BK209" s="543">
        <f t="shared" si="271"/>
        <v>9.6094487260144669E-3</v>
      </c>
      <c r="BL209" s="543">
        <f t="shared" si="272"/>
        <v>1.9526700106534085E-2</v>
      </c>
      <c r="BM209">
        <f t="shared" si="273"/>
        <v>2.6099999999999999E-3</v>
      </c>
      <c r="BN209" s="470">
        <f t="shared" si="274"/>
        <v>424.86165960195342</v>
      </c>
      <c r="BO209" s="543">
        <f t="shared" si="275"/>
        <v>0.31680000000000003</v>
      </c>
      <c r="BR209" s="470">
        <f t="shared" si="276"/>
        <v>316.8</v>
      </c>
      <c r="BS209" s="543">
        <f t="shared" si="277"/>
        <v>0.1143147311888745</v>
      </c>
      <c r="BT209" s="543">
        <f t="shared" si="278"/>
        <v>8.3986333118356793E-2</v>
      </c>
      <c r="BU209" s="543">
        <f t="shared" si="279"/>
        <v>0</v>
      </c>
      <c r="BV209" s="543">
        <f t="shared" si="280"/>
        <v>0.10718796992481207</v>
      </c>
      <c r="BW209" s="470">
        <f t="shared" si="281"/>
        <v>305.48903423204337</v>
      </c>
      <c r="BX209" s="178">
        <f t="shared" si="282"/>
        <v>1.0471506938339967</v>
      </c>
      <c r="BY209" s="6">
        <f t="shared" si="283"/>
        <v>9.5040000000000013</v>
      </c>
      <c r="BZ209" s="178">
        <f t="shared" si="284"/>
        <v>0.90075483478347607</v>
      </c>
      <c r="CA209" s="6">
        <f t="shared" si="285"/>
        <v>90.075483478347607</v>
      </c>
      <c r="CD209" s="577">
        <f t="shared" si="313"/>
        <v>-50</v>
      </c>
      <c r="CE209">
        <f t="shared" si="314"/>
        <v>-50</v>
      </c>
    </row>
    <row r="210" spans="5:85" x14ac:dyDescent="0.2">
      <c r="E210" s="175">
        <v>100</v>
      </c>
      <c r="F210" s="222">
        <f t="shared" si="332"/>
        <v>0.8</v>
      </c>
      <c r="G210" s="222"/>
      <c r="H210" s="222">
        <f t="shared" si="323"/>
        <v>9.6000000000000014</v>
      </c>
      <c r="I210" s="556">
        <f t="shared" si="287"/>
        <v>9</v>
      </c>
      <c r="J210" s="452">
        <f t="shared" si="288"/>
        <v>12.25</v>
      </c>
      <c r="K210" s="452">
        <f t="shared" si="289"/>
        <v>21.25</v>
      </c>
      <c r="L210" s="452"/>
      <c r="M210" s="222">
        <f t="shared" si="290"/>
        <v>0.57647058823529407</v>
      </c>
      <c r="N210" s="177">
        <f t="shared" si="324"/>
        <v>10.104088235294114</v>
      </c>
      <c r="O210" s="177">
        <f t="shared" si="319"/>
        <v>9.6000000000000014</v>
      </c>
      <c r="P210" s="222">
        <f t="shared" si="325"/>
        <v>0.84200735294117612</v>
      </c>
      <c r="Q210" s="222">
        <f t="shared" si="293"/>
        <v>12</v>
      </c>
      <c r="R210" s="222"/>
      <c r="S210" s="177">
        <f t="shared" si="294"/>
        <v>13.078190118926381</v>
      </c>
      <c r="T210" s="551">
        <f t="shared" si="326"/>
        <v>12</v>
      </c>
      <c r="U210" s="222">
        <f t="shared" si="296"/>
        <v>3.8954529180093105</v>
      </c>
      <c r="V210" s="222">
        <f t="shared" si="327"/>
        <v>3.0297967140072415</v>
      </c>
      <c r="W210" s="222">
        <f t="shared" si="298"/>
        <v>2.2259730960053203</v>
      </c>
      <c r="X210" s="202">
        <f t="shared" si="299"/>
        <v>350</v>
      </c>
      <c r="Y210" s="452">
        <f t="shared" si="265"/>
        <v>190.26708477508643</v>
      </c>
      <c r="AA210" s="222">
        <f t="shared" si="300"/>
        <v>2.1176470588235294</v>
      </c>
      <c r="AB210" s="178">
        <f t="shared" si="328"/>
        <v>1.2100840336134453</v>
      </c>
      <c r="AC210" s="178">
        <f t="shared" si="329"/>
        <v>0.4484429065743944</v>
      </c>
      <c r="AD210" s="178"/>
      <c r="AE210" s="178">
        <f t="shared" si="303"/>
        <v>0.46857142857142853</v>
      </c>
      <c r="AF210" s="560">
        <f>MAX(12000,F210/(0.5*AE210/1000000*Isw_min*Nps))/1000</f>
        <v>4164.1879833432495</v>
      </c>
      <c r="AG210" s="543">
        <f t="shared" si="304"/>
        <v>6.723999999999998E-2</v>
      </c>
      <c r="AI210" s="178">
        <f t="shared" si="305"/>
        <v>2.8284271247461903</v>
      </c>
      <c r="AJ210" s="178">
        <f t="shared" si="330"/>
        <v>3.8954529180093105</v>
      </c>
      <c r="AK210" s="178">
        <f t="shared" si="331"/>
        <v>3.4781132725994892</v>
      </c>
      <c r="AM210" s="560">
        <f t="shared" si="308"/>
        <v>800</v>
      </c>
      <c r="AN210" s="470">
        <f t="shared" si="309"/>
        <v>190.26708477508643</v>
      </c>
      <c r="AP210">
        <f t="shared" si="310"/>
        <v>800</v>
      </c>
      <c r="AQ210">
        <f t="shared" si="311"/>
        <v>190.26708477508643</v>
      </c>
      <c r="AS210" s="6">
        <f t="shared" si="320"/>
        <v>5.2557698100125618</v>
      </c>
      <c r="AT210" s="6">
        <f t="shared" si="312"/>
        <v>3.0297967140072415</v>
      </c>
      <c r="AU210" s="6">
        <f t="shared" si="266"/>
        <v>2.2259730960053203</v>
      </c>
      <c r="AV210" s="6"/>
      <c r="AW210" s="178">
        <f t="shared" si="267"/>
        <v>0.57647058823529407</v>
      </c>
      <c r="AX210" s="178">
        <f t="shared" si="316"/>
        <v>10.105263157894738</v>
      </c>
      <c r="AY210" s="178">
        <f t="shared" si="317"/>
        <v>0.82491944146079521</v>
      </c>
      <c r="AZ210" s="178">
        <f t="shared" si="321"/>
        <v>12.249999999999996</v>
      </c>
      <c r="BA210" s="470">
        <f>L*Isw_max^2/(2*Vout_ripple*Vout)*1000000000*((1+M210)/2)^2</f>
        <v>25.385458958093036</v>
      </c>
      <c r="BB210" s="470">
        <f>L*F210^2/(2*Cout*Vout*Nps^2)*1000000000*((1+M210)/(1-M210))^2+F210*RCoutEsr</f>
        <v>57.426705192189829</v>
      </c>
      <c r="BC210" s="6">
        <f t="shared" si="268"/>
        <v>3.7027232786053417</v>
      </c>
      <c r="BD210" s="470">
        <f>((BY210/I210/Efficiency)*AU210/Cin+(BY210/I210/Efficiency)*RCinEsr)*1000</f>
        <v>253.30224235849212</v>
      </c>
      <c r="BF210" s="178">
        <f t="shared" si="322"/>
        <v>1.7075990694251701</v>
      </c>
      <c r="BG210" s="178">
        <f t="shared" si="318"/>
        <v>1.4636563452215745</v>
      </c>
      <c r="BI210" s="543">
        <f t="shared" si="269"/>
        <v>0.32074840400918775</v>
      </c>
      <c r="BJ210" s="543">
        <f t="shared" si="270"/>
        <v>7.8750000000000001E-2</v>
      </c>
      <c r="BK210" s="543">
        <f t="shared" si="271"/>
        <v>9.51335423875432E-3</v>
      </c>
      <c r="BL210" s="543">
        <f t="shared" si="272"/>
        <v>1.9331433105468743E-2</v>
      </c>
      <c r="BM210">
        <f t="shared" si="273"/>
        <v>2.6099999999999999E-3</v>
      </c>
      <c r="BN210" s="470">
        <f t="shared" si="274"/>
        <v>430.95319135341083</v>
      </c>
      <c r="BO210" s="543">
        <f t="shared" si="275"/>
        <v>0.32000000000000006</v>
      </c>
      <c r="BR210" s="470">
        <f t="shared" si="276"/>
        <v>320.00000000000006</v>
      </c>
      <c r="BS210" s="543">
        <f t="shared" si="277"/>
        <v>0.11663578327606829</v>
      </c>
      <c r="BT210" s="543">
        <f t="shared" si="278"/>
        <v>8.5691595876295074E-2</v>
      </c>
      <c r="BU210" s="543">
        <f t="shared" si="279"/>
        <v>0</v>
      </c>
      <c r="BV210" s="543">
        <f t="shared" si="280"/>
        <v>0.10827067669172938</v>
      </c>
      <c r="BW210" s="470">
        <f t="shared" si="281"/>
        <v>310.5980558440927</v>
      </c>
      <c r="BX210" s="178">
        <f t="shared" si="282"/>
        <v>1.0615512471975035</v>
      </c>
      <c r="BY210" s="6">
        <f t="shared" si="283"/>
        <v>9.6000000000000014</v>
      </c>
      <c r="BZ210" s="178">
        <f t="shared" si="284"/>
        <v>0.90043182060616722</v>
      </c>
      <c r="CA210" s="6">
        <f t="shared" si="285"/>
        <v>90.043182060616715</v>
      </c>
      <c r="CD210" s="577">
        <f t="shared" si="313"/>
        <v>-50</v>
      </c>
      <c r="CE210">
        <f t="shared" si="314"/>
        <v>-50</v>
      </c>
    </row>
    <row r="211" spans="5:85" x14ac:dyDescent="0.2">
      <c r="E211" s="175"/>
      <c r="F211" s="222"/>
      <c r="G211" s="222"/>
      <c r="H211" s="222"/>
      <c r="I211" s="556"/>
      <c r="J211" s="452"/>
      <c r="K211" s="452"/>
      <c r="L211" s="452"/>
      <c r="M211" s="222"/>
      <c r="N211" s="177"/>
      <c r="O211" s="177"/>
      <c r="P211" s="222"/>
      <c r="Q211" s="222"/>
      <c r="R211" s="222"/>
      <c r="S211" s="177"/>
      <c r="T211" s="177"/>
      <c r="U211" s="222"/>
      <c r="V211" s="222"/>
      <c r="W211" s="222"/>
      <c r="X211" s="202"/>
      <c r="Y211" s="452"/>
      <c r="AA211" s="222"/>
      <c r="AB211" s="178"/>
      <c r="AC211" s="178"/>
      <c r="AD211" s="178"/>
      <c r="AE211" s="178"/>
      <c r="AF211" s="560"/>
      <c r="AI211" s="178"/>
      <c r="AJ211" s="178"/>
      <c r="AK211" s="178"/>
      <c r="AM211" s="560"/>
      <c r="AN211" s="470"/>
      <c r="AS211" s="6"/>
      <c r="AT211" s="6"/>
      <c r="AU211" s="6"/>
      <c r="AV211" s="6"/>
      <c r="AW211" s="178"/>
      <c r="AX211" s="178"/>
      <c r="BA211" s="470"/>
      <c r="BB211" s="470"/>
      <c r="BC211" s="6"/>
      <c r="BD211" s="470"/>
      <c r="CD211" s="577"/>
      <c r="CF211" s="545">
        <f>MAX(CE110:CE210)</f>
        <v>-50</v>
      </c>
      <c r="CG211" s="77" t="s">
        <v>45</v>
      </c>
    </row>
    <row r="212" spans="5:85" x14ac:dyDescent="0.2">
      <c r="E212" s="655">
        <v>101</v>
      </c>
      <c r="F212" s="656">
        <f>Ioutmax_Vinmin</f>
        <v>0.84200735294117612</v>
      </c>
      <c r="H212" s="222">
        <f t="shared" ref="H212" si="333">F212*Vout</f>
        <v>10.104088235294114</v>
      </c>
      <c r="I212" s="556">
        <f t="shared" ref="I212" si="334">VIN_min</f>
        <v>9</v>
      </c>
      <c r="J212" s="452">
        <f t="shared" ref="J212" si="335">(T212+Vfwd1)*Nps</f>
        <v>12.25</v>
      </c>
      <c r="K212" s="452">
        <f t="shared" ref="K212" si="336">(Vout+Vfwd1)*Nps+I212</f>
        <v>21.25</v>
      </c>
      <c r="L212" s="452"/>
      <c r="M212" s="222">
        <f t="shared" ref="M212" si="337">(Vout+Vfwd1)*Nps/((Vout+Vfwd1)*Nps+I212)</f>
        <v>0.57647058823529407</v>
      </c>
      <c r="N212" s="177" t="e">
        <f>M212*I212*(Isw_max+VIN_min/Lmag*ILIM_delay)*0.5*Efficiency</f>
        <v>#NAME?</v>
      </c>
      <c r="O212" s="177">
        <f t="shared" ref="O212" si="338">T212*F212</f>
        <v>10.104088235294114</v>
      </c>
      <c r="P212" s="222" t="e">
        <f t="shared" ref="P212" si="339">N212/Vout</f>
        <v>#NAME?</v>
      </c>
      <c r="Q212" s="222" t="e">
        <f t="shared" ref="Q212" si="340">MIN(Vout,N212/F212)</f>
        <v>#NAME?</v>
      </c>
      <c r="R212" s="222"/>
      <c r="S212" s="177">
        <f t="shared" ref="S212" si="341">(SQRT(Isw_max^2*Nps^2*I212^2+4*Isw_max*F212/Efficiency*(Nps^2*Vfwd1*I212-Nps*I212^2)+4*(F212/Efficiency)^2*Nps^2*Vfwd1^2+8*(F212/Efficiency)^2*Nps*Vfwd1*I212+4*(F212/Efficiency)^2*I212^2)-2*F212/Efficiency*I212-2*F212/Efficiency*Nps*Vfwd1+Isw_max*Nps*I212)/(4*F212/Efficiency*Nps)</f>
        <v>12.000000000000007</v>
      </c>
      <c r="T212" s="551">
        <f t="shared" ref="T212" si="342">MIN(Vout, S212)</f>
        <v>12</v>
      </c>
      <c r="U212" s="222">
        <f t="shared" ref="U212" si="343">MIN(2*Vout*F212/(Efficiency*I212*M212), Isw_max)</f>
        <v>4.0999999999999996</v>
      </c>
      <c r="V212" s="222">
        <f t="shared" ref="V212" si="344">L*U212/I212*1000000</f>
        <v>3.1888888888888887</v>
      </c>
      <c r="W212" s="222">
        <f t="shared" ref="W212" si="345">L*U212/J212*1000000</f>
        <v>2.3428571428571425</v>
      </c>
      <c r="X212" s="202">
        <f t="shared" ref="X212" si="346">IF(1/((350000*L)*(1/I212+1/J212))&gt;Isw_min, 350, 0.001/((Isw_min*L)*(1/I212+1/J212)))</f>
        <v>350</v>
      </c>
      <c r="Y212" s="452">
        <f t="shared" ref="Y212" si="347">MIN(1/(V212+W212)*1000, 350)</f>
        <v>180.77474892395983</v>
      </c>
      <c r="AA212" s="222">
        <f t="shared" ref="AA212" si="348">1/((X212*1000*L)*(1/I212+1/J212))</f>
        <v>2.1176470588235294</v>
      </c>
      <c r="AB212" s="178">
        <f t="shared" ref="AB212" si="349">L*AA212/J212*1000000</f>
        <v>1.2100840336134453</v>
      </c>
      <c r="AC212" s="178">
        <f t="shared" ref="AC212" si="350">0.5*AB212*AA212*Nps*X212/1000</f>
        <v>0.4484429065743944</v>
      </c>
      <c r="AD212" s="178"/>
      <c r="AE212" s="178">
        <f t="shared" ref="AE212" si="351">L*Isw_min/J212*1000000</f>
        <v>0.46857142857142853</v>
      </c>
      <c r="AF212" s="560">
        <f>MAX(12000,F212/(0.5*AE212/1000000*Isw_min*Nps))/1000</f>
        <v>4382.8461262553792</v>
      </c>
      <c r="AG212" s="543">
        <f t="shared" ref="AG212" si="352">0.5*AE212/1000000*Isw_min*Nps*X212*1000</f>
        <v>6.723999999999998E-2</v>
      </c>
      <c r="AI212" s="178">
        <f t="shared" ref="AI212" si="353">SQRT(F212/(0.5*L/J212*Fsw_DCM*Nps))</f>
        <v>2.9017362956360735</v>
      </c>
      <c r="AJ212" s="178">
        <f t="shared" ref="AJ212" si="354">MAX(IF(F212&gt;AC212,U212,AI212),Isw_min)</f>
        <v>4.0999999999999996</v>
      </c>
      <c r="AK212" s="178">
        <f t="shared" ref="AK212" si="355">IF(F212&gt;AG212, (AJ212-Isw_min)/1.08*0.8+1.2, AF212*0.2/350+1)</f>
        <v>3.6296296296296298</v>
      </c>
      <c r="AM212" s="560">
        <f t="shared" ref="AM212" si="356">F212*1000</f>
        <v>842.00735294117612</v>
      </c>
      <c r="AN212" s="470">
        <f t="shared" ref="AN212" si="357">IF(F212&gt;AG212, Y212, AF212)</f>
        <v>180.77474892395983</v>
      </c>
      <c r="AS212" s="6">
        <f t="shared" ref="AS212" si="358">1/AN212*1000</f>
        <v>5.5317460317460316</v>
      </c>
      <c r="AT212" s="6">
        <f t="shared" ref="AT212" si="359">L*AJ212/I212*1000000</f>
        <v>3.1888888888888887</v>
      </c>
      <c r="AU212" s="6">
        <f t="shared" ref="AU212" si="360">AS212-AT212</f>
        <v>2.342857142857143</v>
      </c>
      <c r="AV212" s="6"/>
      <c r="AW212" s="178"/>
      <c r="AX212" s="178"/>
      <c r="BA212" s="470"/>
      <c r="BB212" s="470"/>
      <c r="BC212" s="6"/>
      <c r="BD212" s="470"/>
      <c r="CF212" s="577"/>
    </row>
    <row r="213" spans="5:85" x14ac:dyDescent="0.2">
      <c r="H213" s="222"/>
      <c r="I213" s="556"/>
      <c r="J213" s="452"/>
      <c r="K213" s="452"/>
      <c r="L213" s="452"/>
      <c r="M213" s="222"/>
      <c r="N213" s="547">
        <f>M210*I210*Isw_max*0.5*Efficiency</f>
        <v>10.104088235294114</v>
      </c>
      <c r="O213" s="177"/>
      <c r="P213" s="222"/>
      <c r="Q213" s="222"/>
      <c r="R213" s="222"/>
      <c r="S213" s="177"/>
      <c r="T213" s="177"/>
      <c r="U213" s="222"/>
      <c r="V213" s="222"/>
      <c r="W213" s="222"/>
      <c r="X213" s="202"/>
      <c r="Y213" s="452"/>
      <c r="AA213" s="222"/>
      <c r="AB213" s="178"/>
      <c r="AC213" s="178"/>
      <c r="AD213" s="178"/>
      <c r="AE213" s="178"/>
      <c r="AF213" s="560"/>
      <c r="AI213" s="178"/>
      <c r="AJ213" s="178"/>
      <c r="AK213" s="178"/>
      <c r="AM213" s="560"/>
      <c r="AN213" s="470"/>
      <c r="AS213" s="6"/>
      <c r="AT213" s="6"/>
      <c r="AU213" s="6"/>
      <c r="AV213" s="6"/>
      <c r="AW213" s="178"/>
      <c r="AX213" s="178"/>
      <c r="BA213" s="470"/>
      <c r="BB213" s="470"/>
      <c r="BC213" s="6"/>
      <c r="BD213" s="470"/>
      <c r="CD213" s="577"/>
    </row>
    <row r="214" spans="5:85" x14ac:dyDescent="0.2">
      <c r="H214" s="222"/>
      <c r="I214" s="556"/>
      <c r="J214" s="452"/>
      <c r="K214" s="452"/>
      <c r="L214" s="452"/>
      <c r="M214" s="222"/>
      <c r="N214" s="177"/>
      <c r="O214" s="177"/>
      <c r="P214" s="222"/>
      <c r="Q214" s="222"/>
      <c r="R214" s="222"/>
      <c r="S214" s="177"/>
      <c r="T214" s="177"/>
      <c r="U214" s="222"/>
      <c r="V214" s="222"/>
      <c r="W214" s="222"/>
      <c r="X214" s="202"/>
      <c r="Y214" s="452"/>
      <c r="AA214" s="222"/>
      <c r="AB214" s="178"/>
      <c r="AC214" s="178"/>
      <c r="AD214" s="178"/>
      <c r="AE214" s="178"/>
      <c r="AF214" s="560"/>
      <c r="AI214" s="178"/>
      <c r="AJ214" s="178"/>
      <c r="AK214" s="178"/>
      <c r="AM214" s="560"/>
      <c r="AN214" s="470"/>
      <c r="AS214" s="6"/>
      <c r="AT214" s="6"/>
      <c r="AU214" s="6"/>
      <c r="AV214" s="6"/>
      <c r="AW214" s="178"/>
      <c r="AX214" s="178"/>
      <c r="BA214" s="470"/>
      <c r="BB214" s="470"/>
      <c r="BC214" s="6"/>
      <c r="BD214" s="470"/>
      <c r="CD214" s="577"/>
    </row>
    <row r="215" spans="5:85" x14ac:dyDescent="0.2">
      <c r="E215" s="454" t="s">
        <v>446</v>
      </c>
      <c r="H215" s="222"/>
      <c r="I215" s="556"/>
      <c r="J215" s="452"/>
      <c r="K215" s="452"/>
      <c r="L215" s="452"/>
      <c r="M215" s="222"/>
      <c r="N215" s="177"/>
      <c r="O215" s="177"/>
      <c r="P215" s="222"/>
      <c r="Q215" s="222"/>
      <c r="R215" s="222"/>
      <c r="S215" s="177"/>
      <c r="T215" s="177"/>
      <c r="U215" s="222"/>
      <c r="V215" s="222"/>
      <c r="W215" s="222"/>
      <c r="X215" s="202"/>
      <c r="Y215" s="452"/>
      <c r="AA215" s="222"/>
      <c r="AB215" s="178"/>
      <c r="AC215" s="178"/>
      <c r="AD215" s="178"/>
      <c r="AE215" s="178"/>
      <c r="AF215" s="560"/>
      <c r="AI215" s="178"/>
      <c r="AJ215" s="178"/>
      <c r="AK215" s="178"/>
      <c r="AM215" s="560"/>
      <c r="AN215" s="470"/>
      <c r="AS215" s="6"/>
      <c r="AT215" s="6"/>
      <c r="AU215" s="6"/>
      <c r="AV215" s="6"/>
      <c r="AW215" s="178"/>
      <c r="AX215" s="178"/>
      <c r="BA215" s="470"/>
      <c r="BB215" s="470"/>
      <c r="BC215" s="6"/>
      <c r="BD215" s="470"/>
      <c r="CD215" s="577"/>
    </row>
    <row r="216" spans="5:85" ht="45" customHeight="1" thickBot="1" x14ac:dyDescent="0.25">
      <c r="E216" s="246" t="s">
        <v>25</v>
      </c>
      <c r="F216" s="453" t="s">
        <v>195</v>
      </c>
      <c r="G216" s="265"/>
      <c r="H216" s="542" t="s">
        <v>224</v>
      </c>
      <c r="I216" s="247" t="s">
        <v>423</v>
      </c>
      <c r="J216" s="248" t="s">
        <v>429</v>
      </c>
      <c r="K216" s="542" t="s">
        <v>424</v>
      </c>
      <c r="L216" s="542"/>
      <c r="M216" s="249" t="s">
        <v>48</v>
      </c>
      <c r="N216" s="542" t="s">
        <v>413</v>
      </c>
      <c r="O216" s="177"/>
      <c r="P216" s="542" t="s">
        <v>414</v>
      </c>
      <c r="Q216" s="542" t="s">
        <v>444</v>
      </c>
      <c r="R216" s="542"/>
      <c r="S216" s="177"/>
      <c r="T216" s="177"/>
      <c r="U216" s="542" t="s">
        <v>425</v>
      </c>
      <c r="V216" s="542" t="s">
        <v>477</v>
      </c>
      <c r="W216" s="542" t="s">
        <v>476</v>
      </c>
      <c r="X216" s="561" t="s">
        <v>431</v>
      </c>
      <c r="Y216" s="557" t="s">
        <v>436</v>
      </c>
      <c r="AA216" s="250" t="s">
        <v>428</v>
      </c>
      <c r="AB216" s="250" t="s">
        <v>475</v>
      </c>
      <c r="AC216" s="250" t="s">
        <v>434</v>
      </c>
      <c r="AD216" s="559"/>
      <c r="AE216" s="250" t="s">
        <v>718</v>
      </c>
      <c r="AF216" s="250" t="s">
        <v>719</v>
      </c>
      <c r="AG216" s="250" t="s">
        <v>438</v>
      </c>
      <c r="AH216" s="559"/>
      <c r="AI216" s="250" t="s">
        <v>440</v>
      </c>
      <c r="AJ216" s="562" t="s">
        <v>441</v>
      </c>
      <c r="AK216" s="562" t="s">
        <v>442</v>
      </c>
      <c r="AM216" s="558" t="s">
        <v>276</v>
      </c>
      <c r="AN216" s="558" t="s">
        <v>443</v>
      </c>
      <c r="AP216" s="250" t="s">
        <v>276</v>
      </c>
      <c r="AQ216" s="250" t="s">
        <v>443</v>
      </c>
      <c r="AR216" s="563"/>
      <c r="AS216" s="250" t="s">
        <v>478</v>
      </c>
      <c r="AT216" s="250" t="s">
        <v>472</v>
      </c>
      <c r="AU216" s="250" t="s">
        <v>473</v>
      </c>
      <c r="AV216" s="250" t="s">
        <v>674</v>
      </c>
      <c r="AW216" s="250" t="s">
        <v>48</v>
      </c>
      <c r="AX216" s="563" t="s">
        <v>672</v>
      </c>
      <c r="AY216" s="559" t="s">
        <v>671</v>
      </c>
      <c r="AZ216" s="559" t="s">
        <v>673</v>
      </c>
      <c r="BA216" s="250" t="s">
        <v>493</v>
      </c>
      <c r="BB216" s="250" t="s">
        <v>717</v>
      </c>
      <c r="BC216" s="250" t="s">
        <v>527</v>
      </c>
      <c r="BD216" s="250" t="s">
        <v>723</v>
      </c>
      <c r="BE216" s="559"/>
      <c r="BF216" s="572" t="s">
        <v>467</v>
      </c>
      <c r="BG216" s="250" t="s">
        <v>468</v>
      </c>
      <c r="BH216" s="559"/>
      <c r="BI216" s="572" t="s">
        <v>485</v>
      </c>
      <c r="BJ216" s="250" t="s">
        <v>486</v>
      </c>
      <c r="BK216" s="250" t="s">
        <v>484</v>
      </c>
      <c r="BL216" s="250" t="s">
        <v>480</v>
      </c>
      <c r="BM216" s="250" t="s">
        <v>489</v>
      </c>
      <c r="BN216" s="250" t="s">
        <v>503</v>
      </c>
      <c r="BO216" s="572" t="s">
        <v>487</v>
      </c>
      <c r="BP216" s="250" t="s">
        <v>488</v>
      </c>
      <c r="BQ216" s="250" t="s">
        <v>495</v>
      </c>
      <c r="BR216" s="250" t="s">
        <v>499</v>
      </c>
      <c r="BS216" s="572" t="s">
        <v>469</v>
      </c>
      <c r="BT216" s="250" t="s">
        <v>470</v>
      </c>
      <c r="BU216" s="250" t="s">
        <v>479</v>
      </c>
      <c r="BV216" s="250" t="s">
        <v>496</v>
      </c>
      <c r="BW216" s="250" t="s">
        <v>498</v>
      </c>
      <c r="BX216" s="572" t="s">
        <v>494</v>
      </c>
      <c r="BY216" s="250" t="s">
        <v>224</v>
      </c>
      <c r="BZ216" s="250" t="s">
        <v>47</v>
      </c>
      <c r="CA216" s="250" t="s">
        <v>497</v>
      </c>
      <c r="CB216" s="250"/>
      <c r="CD216" s="577"/>
    </row>
    <row r="217" spans="5:85" x14ac:dyDescent="0.2">
      <c r="E217" s="175">
        <v>0.1</v>
      </c>
      <c r="F217" s="222">
        <v>1.0000000000000001E-9</v>
      </c>
      <c r="G217" s="222"/>
      <c r="H217" s="222">
        <f t="shared" ref="H217:H248" si="361">F217*Vout</f>
        <v>1.2000000000000002E-8</v>
      </c>
      <c r="I217" s="556">
        <f t="shared" ref="I217:I248" si="362">VIN_max</f>
        <v>42</v>
      </c>
      <c r="J217" s="452">
        <f t="shared" ref="J217:J248" si="363">(T217+Vfwd1)*Nps</f>
        <v>12.25</v>
      </c>
      <c r="K217" s="452">
        <f t="shared" ref="K217:K248" si="364">(Vout+Vfwd1)*Nps+I217</f>
        <v>54.25</v>
      </c>
      <c r="L217" s="452"/>
      <c r="M217" s="222">
        <f t="shared" ref="M217:M248" si="365">(Vout+Vfwd1)*Nps/((Vout+Vfwd1)*Nps+I217)</f>
        <v>0.22580645161290322</v>
      </c>
      <c r="N217" s="177">
        <f t="shared" ref="N217:N248" si="366">M217*I217*Isw_max*0.5*Efficiency</f>
        <v>18.469838709677418</v>
      </c>
      <c r="O217" s="177">
        <f t="shared" si="319"/>
        <v>1.2000000000000002E-8</v>
      </c>
      <c r="P217" s="222">
        <f t="shared" ref="P217:P248" si="367">N217/Vout</f>
        <v>1.5391532258064515</v>
      </c>
      <c r="Q217" s="222">
        <f t="shared" ref="Q217:Q248" si="368">MIN(Vout,N217/F217)</f>
        <v>12</v>
      </c>
      <c r="R217" s="222"/>
      <c r="S217" s="177">
        <f t="shared" ref="S217:S248" si="369">(SQRT(Isw_max^2*Nps^2*I217^2+4*Isw_max*F217/Efficiency*(Nps^2*Vfwd1*I217-Nps*I217^2)+4*(F217/Efficiency)^2*Nps^2*Vfwd1^2+8*(F217/Efficiency)^2*Nps*Vfwd1*I217+4*(F217/Efficiency)^2*I217^2)-2*F217/Efficiency*I217-2*F217/Efficiency*Nps*Vfwd1+Isw_max*Nps*I217)/(4*F217/Efficiency*Nps)</f>
        <v>81794999957.999985</v>
      </c>
      <c r="T217" s="177">
        <f t="shared" ref="T217:T248" si="370">MIN(Vout, S217)</f>
        <v>12</v>
      </c>
      <c r="U217" s="222">
        <f t="shared" ref="U217:U248" si="371">MIN(2*Vout*F217/(Efficiency*I217*M217), Isw_max)</f>
        <v>2.6638023630504837E-9</v>
      </c>
      <c r="V217" s="222">
        <f t="shared" ref="V217:V248" si="372">L*U217/I217*1000000</f>
        <v>4.43967060508414E-10</v>
      </c>
      <c r="W217" s="222">
        <f t="shared" ref="W217:W248" si="373">L*U217/J217*1000000</f>
        <v>1.5221727788859907E-9</v>
      </c>
      <c r="X217" s="202">
        <f t="shared" ref="X217:X248" si="374">IF(1/((350000*L)*(1/I217+1/J217))&gt;Isw_min, 350, 0.001/((Isw_min*L)*(1/I217+1/J217)))</f>
        <v>350</v>
      </c>
      <c r="Y217" s="452">
        <f t="shared" ref="Y217:Y276" si="375">MIN(1/(V217+W217)*1000, 350)</f>
        <v>350</v>
      </c>
      <c r="AA217" s="222">
        <f t="shared" ref="AA217:AA248" si="376">1/((X217*1000*L)*(1/I217+1/J217))</f>
        <v>3.8709677419354835</v>
      </c>
      <c r="AB217" s="178">
        <f t="shared" ref="AB217:AB248" si="377">L*AA217/J217*1000000</f>
        <v>2.2119815668202762</v>
      </c>
      <c r="AC217" s="178">
        <f t="shared" ref="AC217:AC248" si="378">0.5*AB217*AA217*Nps*X217/1000</f>
        <v>1.4984391259105099</v>
      </c>
      <c r="AD217" s="178"/>
      <c r="AE217" s="178">
        <f t="shared" ref="AE217:AE248" si="379">L*Isw_min/J217*1000000</f>
        <v>0.46857142857142853</v>
      </c>
      <c r="AF217" s="560">
        <f>MAX(12000,F217/(0.5*AE217/1000000*Isw_min*Nps))/1000</f>
        <v>12</v>
      </c>
      <c r="AG217" s="543">
        <f t="shared" ref="AG217:AG248" si="380">0.5*AE217/1000000*Isw_min*Nps*X217*1000</f>
        <v>6.723999999999998E-2</v>
      </c>
      <c r="AI217" s="178">
        <f t="shared" ref="AI217:AI248" si="381">SQRT(F217/(0.5*L/J217*Fsw_DCM*Nps))</f>
        <v>1E-4</v>
      </c>
      <c r="AJ217" s="178">
        <f t="shared" ref="AJ217:AJ248" si="382">MAX(IF(F217&gt;AC217,U217,AI217),Isw_min)</f>
        <v>0.82</v>
      </c>
      <c r="AK217" s="178">
        <f t="shared" ref="AK217:AK248" si="383">IF(F217&gt;AG217, (AJ217-Isw_min)/1.08*0.8+1.2, AF217*0.2/350+1)</f>
        <v>1.0068571428571429</v>
      </c>
      <c r="AM217" s="560">
        <f t="shared" ref="AM217:AM248" si="384">F217*1000</f>
        <v>1.0000000000000002E-6</v>
      </c>
      <c r="AN217" s="470">
        <f t="shared" ref="AN217:AN248" si="385">IF(F217&gt;AG217, Y217, AF217)</f>
        <v>12</v>
      </c>
      <c r="AP217">
        <f t="shared" ref="AP217:AP248" si="386">IF(H217&gt;N217, "",AM217)</f>
        <v>1.0000000000000002E-6</v>
      </c>
      <c r="AQ217">
        <f t="shared" ref="AQ217:AQ248" si="387">IF(H217&gt;N217, "",AN217)</f>
        <v>12</v>
      </c>
      <c r="AS217" s="6">
        <f t="shared" si="320"/>
        <v>83.333333333333329</v>
      </c>
      <c r="AT217" s="6">
        <f t="shared" ref="AT217:AT248" si="388">L*AJ217/I217*1000000</f>
        <v>0.13666666666666666</v>
      </c>
      <c r="AU217" s="6">
        <f t="shared" si="266"/>
        <v>83.196666666666658</v>
      </c>
      <c r="AV217" s="6"/>
      <c r="AW217" s="178">
        <f t="shared" si="267"/>
        <v>1.64E-3</v>
      </c>
      <c r="AX217" s="178"/>
      <c r="BA217" s="470">
        <f>L*Isw_max^2/(2*Vout_ripple*Vout)*1000000000*((1+M217)/2)^2</f>
        <v>15.348186929124752</v>
      </c>
      <c r="BB217" s="470">
        <f>L*F217^2/(2*Cout*Vout*Nps^2)*1000000000*((1+M217)/(1-M217))^2+F217*RCoutEsr</f>
        <v>3.0000000155572796E-9</v>
      </c>
      <c r="BC217" s="6">
        <f t="shared" si="268"/>
        <v>3.706896871809152E-8</v>
      </c>
      <c r="BD217" s="470">
        <f>((BY217/I217/Efficiency)*AU217/Cin+(BY217/I217/Efficiency)*RCinEsr)*1000</f>
        <v>0</v>
      </c>
      <c r="CD217" s="577">
        <f t="shared" ref="CD217:CD248" si="389">IF(ABS(F217-Ioutmax_Vinmax)&lt;Iout/200, AN217, -50)</f>
        <v>-50</v>
      </c>
      <c r="CE217">
        <f t="shared" ref="CE217:CE248" si="390">IF(ABS(F217-Ioutmax_Vinmin)&lt;Iout/200, N217*BZ217, -50)</f>
        <v>-50</v>
      </c>
    </row>
    <row r="218" spans="5:85" x14ac:dyDescent="0.2">
      <c r="E218" s="175">
        <v>1</v>
      </c>
      <c r="F218" s="222">
        <f t="shared" ref="F218:F249" si="391">IF(PLOT_TYPE=1, E218/100*Iout_max, min_I*EXP(N218*rr/100))</f>
        <v>8.0000000000000002E-3</v>
      </c>
      <c r="G218" s="222"/>
      <c r="H218" s="222">
        <f t="shared" si="361"/>
        <v>9.6000000000000002E-2</v>
      </c>
      <c r="I218" s="556">
        <f t="shared" si="362"/>
        <v>42</v>
      </c>
      <c r="J218" s="452">
        <f t="shared" si="363"/>
        <v>12.25</v>
      </c>
      <c r="K218" s="452">
        <f t="shared" si="364"/>
        <v>54.25</v>
      </c>
      <c r="L218" s="452"/>
      <c r="M218" s="222">
        <f t="shared" si="365"/>
        <v>0.22580645161290322</v>
      </c>
      <c r="N218" s="177">
        <f t="shared" si="366"/>
        <v>18.469838709677418</v>
      </c>
      <c r="O218" s="177">
        <f t="shared" si="319"/>
        <v>9.6000000000000002E-2</v>
      </c>
      <c r="P218" s="222">
        <f t="shared" si="367"/>
        <v>1.5391532258064515</v>
      </c>
      <c r="Q218" s="222">
        <f t="shared" si="368"/>
        <v>12</v>
      </c>
      <c r="R218" s="222"/>
      <c r="S218" s="177">
        <f t="shared" si="369"/>
        <v>10182.376031168185</v>
      </c>
      <c r="T218" s="177">
        <f t="shared" si="370"/>
        <v>12</v>
      </c>
      <c r="U218" s="222">
        <f t="shared" si="371"/>
        <v>2.1310418904403865E-2</v>
      </c>
      <c r="V218" s="222">
        <f t="shared" si="372"/>
        <v>3.5517364840673108E-3</v>
      </c>
      <c r="W218" s="222">
        <f t="shared" si="373"/>
        <v>1.2177382231087924E-2</v>
      </c>
      <c r="X218" s="202">
        <f t="shared" si="374"/>
        <v>350</v>
      </c>
      <c r="Y218" s="452">
        <f t="shared" si="375"/>
        <v>350</v>
      </c>
      <c r="AA218" s="222">
        <f t="shared" si="376"/>
        <v>3.8709677419354835</v>
      </c>
      <c r="AB218" s="178">
        <f t="shared" si="377"/>
        <v>2.2119815668202762</v>
      </c>
      <c r="AC218" s="178">
        <f t="shared" si="378"/>
        <v>1.4984391259105099</v>
      </c>
      <c r="AD218" s="178"/>
      <c r="AE218" s="178">
        <f t="shared" si="379"/>
        <v>0.46857142857142853</v>
      </c>
      <c r="AF218" s="560">
        <f>MAX(12000,F218/(0.5*AE218/1000000*Isw_min*Nps))/1000</f>
        <v>41.64187983343249</v>
      </c>
      <c r="AG218" s="543">
        <f t="shared" si="380"/>
        <v>6.723999999999998E-2</v>
      </c>
      <c r="AI218" s="178">
        <f t="shared" si="381"/>
        <v>0.28284271247461901</v>
      </c>
      <c r="AJ218" s="178">
        <f t="shared" si="382"/>
        <v>0.82</v>
      </c>
      <c r="AK218" s="178">
        <f t="shared" si="383"/>
        <v>1.0237953599048186</v>
      </c>
      <c r="AM218" s="560">
        <f t="shared" si="384"/>
        <v>8</v>
      </c>
      <c r="AN218" s="470">
        <f t="shared" si="385"/>
        <v>41.64187983343249</v>
      </c>
      <c r="AP218">
        <f t="shared" si="386"/>
        <v>8</v>
      </c>
      <c r="AQ218">
        <f t="shared" si="387"/>
        <v>41.64187983343249</v>
      </c>
      <c r="AS218" s="6">
        <f t="shared" si="320"/>
        <v>24.014285714285709</v>
      </c>
      <c r="AT218" s="6">
        <f t="shared" si="388"/>
        <v>0.13666666666666666</v>
      </c>
      <c r="AU218" s="6">
        <f t="shared" si="266"/>
        <v>23.877619047619042</v>
      </c>
      <c r="AV218" s="6"/>
      <c r="AW218" s="178">
        <f t="shared" si="267"/>
        <v>5.691056910569107E-3</v>
      </c>
      <c r="AX218" s="178"/>
      <c r="BA218" s="470">
        <f>L*Isw_max^2/(2*Vout_ripple*Vout)*1000000000*((1+M218)/2)^2</f>
        <v>15.348186929124752</v>
      </c>
      <c r="BB218" s="470">
        <f>L*F218^2/(2*Cout*Vout*Nps^2)*1000000000*((1+M218)/(1-M218))^2+F218*RCoutEsr</f>
        <v>2.4995665878644602E-2</v>
      </c>
      <c r="BC218" s="6">
        <f t="shared" si="268"/>
        <v>8.5110978504462198E-2</v>
      </c>
      <c r="BD218" s="470">
        <f>((BY218/I218/Efficiency)*AU218/Cin+(BY218/I218/Efficiency)*RCinEsr)*1000</f>
        <v>0</v>
      </c>
      <c r="CD218" s="577">
        <f t="shared" si="389"/>
        <v>-50</v>
      </c>
      <c r="CE218">
        <f t="shared" si="390"/>
        <v>-50</v>
      </c>
    </row>
    <row r="219" spans="5:85" x14ac:dyDescent="0.2">
      <c r="E219" s="175">
        <v>2</v>
      </c>
      <c r="F219" s="222">
        <f t="shared" si="391"/>
        <v>1.6E-2</v>
      </c>
      <c r="G219" s="222"/>
      <c r="H219" s="222">
        <f t="shared" si="361"/>
        <v>0.192</v>
      </c>
      <c r="I219" s="556">
        <f t="shared" si="362"/>
        <v>42</v>
      </c>
      <c r="J219" s="452">
        <f t="shared" si="363"/>
        <v>12.25</v>
      </c>
      <c r="K219" s="452">
        <f t="shared" si="364"/>
        <v>54.25</v>
      </c>
      <c r="L219" s="452"/>
      <c r="M219" s="222">
        <f t="shared" si="365"/>
        <v>0.22580645161290322</v>
      </c>
      <c r="N219" s="177">
        <f t="shared" si="366"/>
        <v>18.469838709677418</v>
      </c>
      <c r="O219" s="177">
        <f t="shared" si="319"/>
        <v>0.192</v>
      </c>
      <c r="P219" s="222">
        <f t="shared" si="367"/>
        <v>1.5391532258064515</v>
      </c>
      <c r="Q219" s="222">
        <f t="shared" si="368"/>
        <v>12</v>
      </c>
      <c r="R219" s="222"/>
      <c r="S219" s="177">
        <f t="shared" si="369"/>
        <v>5070.1895708263755</v>
      </c>
      <c r="T219" s="177">
        <f t="shared" si="370"/>
        <v>12</v>
      </c>
      <c r="U219" s="222">
        <f t="shared" si="371"/>
        <v>4.2620837808807731E-2</v>
      </c>
      <c r="V219" s="222">
        <f t="shared" si="372"/>
        <v>7.1034729681346215E-3</v>
      </c>
      <c r="W219" s="222">
        <f t="shared" si="373"/>
        <v>2.4354764462175847E-2</v>
      </c>
      <c r="X219" s="202">
        <f t="shared" si="374"/>
        <v>350</v>
      </c>
      <c r="Y219" s="452">
        <f t="shared" si="375"/>
        <v>350</v>
      </c>
      <c r="AA219" s="222">
        <f t="shared" si="376"/>
        <v>3.8709677419354835</v>
      </c>
      <c r="AB219" s="178">
        <f t="shared" si="377"/>
        <v>2.2119815668202762</v>
      </c>
      <c r="AC219" s="178">
        <f t="shared" si="378"/>
        <v>1.4984391259105099</v>
      </c>
      <c r="AD219" s="178"/>
      <c r="AE219" s="178">
        <f t="shared" si="379"/>
        <v>0.46857142857142853</v>
      </c>
      <c r="AF219" s="560">
        <f>MAX(12000,F219/(0.5*AE219/1000000*Isw_min*Nps))/1000</f>
        <v>83.283759666864981</v>
      </c>
      <c r="AG219" s="543">
        <f t="shared" si="380"/>
        <v>6.723999999999998E-2</v>
      </c>
      <c r="AI219" s="178">
        <f t="shared" si="381"/>
        <v>0.4</v>
      </c>
      <c r="AJ219" s="178">
        <f t="shared" si="382"/>
        <v>0.82</v>
      </c>
      <c r="AK219" s="178">
        <f t="shared" si="383"/>
        <v>1.0475907198096372</v>
      </c>
      <c r="AM219" s="560">
        <f t="shared" si="384"/>
        <v>16</v>
      </c>
      <c r="AN219" s="470">
        <f t="shared" si="385"/>
        <v>83.283759666864981</v>
      </c>
      <c r="AP219">
        <f t="shared" si="386"/>
        <v>16</v>
      </c>
      <c r="AQ219">
        <f t="shared" si="387"/>
        <v>83.283759666864981</v>
      </c>
      <c r="AS219" s="6">
        <f t="shared" si="320"/>
        <v>12.007142857142854</v>
      </c>
      <c r="AT219" s="6">
        <f t="shared" si="388"/>
        <v>0.13666666666666666</v>
      </c>
      <c r="AU219" s="6">
        <f t="shared" si="266"/>
        <v>11.870476190476188</v>
      </c>
      <c r="AV219" s="6"/>
      <c r="AW219" s="178">
        <f t="shared" si="267"/>
        <v>1.1382113821138214E-2</v>
      </c>
      <c r="AX219" s="178"/>
      <c r="BA219" s="470">
        <f>L*Isw_max^2/(2*Vout_ripple*Vout)*1000000000*((1+M219)/2)^2</f>
        <v>15.348186929124752</v>
      </c>
      <c r="BB219" s="470">
        <f>L*F219^2/(2*Cout*Vout*Nps^2)*1000000000*((1+M219)/(1-M219))^2+F219*RCoutEsr</f>
        <v>5.1982663514578413E-2</v>
      </c>
      <c r="BC219" s="6">
        <f t="shared" si="268"/>
        <v>8.462383471907281E-2</v>
      </c>
      <c r="BD219" s="470">
        <f>((BY219/I219/Efficiency)*AU219/Cin+(BY219/I219/Efficiency)*RCinEsr)*1000</f>
        <v>0</v>
      </c>
      <c r="CD219" s="577">
        <f t="shared" si="389"/>
        <v>-50</v>
      </c>
      <c r="CE219">
        <f t="shared" si="390"/>
        <v>-50</v>
      </c>
    </row>
    <row r="220" spans="5:85" x14ac:dyDescent="0.2">
      <c r="E220" s="175">
        <v>3</v>
      </c>
      <c r="F220" s="222">
        <f t="shared" si="391"/>
        <v>2.4E-2</v>
      </c>
      <c r="G220" s="222"/>
      <c r="H220" s="222">
        <f t="shared" si="361"/>
        <v>0.28800000000000003</v>
      </c>
      <c r="I220" s="556">
        <f t="shared" si="362"/>
        <v>42</v>
      </c>
      <c r="J220" s="452">
        <f t="shared" si="363"/>
        <v>12.25</v>
      </c>
      <c r="K220" s="452">
        <f t="shared" si="364"/>
        <v>54.25</v>
      </c>
      <c r="L220" s="452"/>
      <c r="M220" s="222">
        <f t="shared" si="365"/>
        <v>0.22580645161290322</v>
      </c>
      <c r="N220" s="177">
        <f t="shared" si="366"/>
        <v>18.469838709677418</v>
      </c>
      <c r="O220" s="177">
        <f t="shared" si="319"/>
        <v>0.28800000000000003</v>
      </c>
      <c r="P220" s="222">
        <f t="shared" si="367"/>
        <v>1.5391532258064515</v>
      </c>
      <c r="Q220" s="222">
        <f t="shared" si="368"/>
        <v>12</v>
      </c>
      <c r="R220" s="222"/>
      <c r="S220" s="177">
        <f t="shared" si="369"/>
        <v>3366.1281190792083</v>
      </c>
      <c r="T220" s="177">
        <f t="shared" si="370"/>
        <v>12</v>
      </c>
      <c r="U220" s="222">
        <f t="shared" si="371"/>
        <v>6.3931256713211607E-2</v>
      </c>
      <c r="V220" s="222">
        <f t="shared" si="372"/>
        <v>1.0655209452201934E-2</v>
      </c>
      <c r="W220" s="222">
        <f t="shared" si="373"/>
        <v>3.6532146693263774E-2</v>
      </c>
      <c r="X220" s="202">
        <f t="shared" si="374"/>
        <v>350</v>
      </c>
      <c r="Y220" s="452">
        <f t="shared" si="375"/>
        <v>350</v>
      </c>
      <c r="AA220" s="222">
        <f t="shared" si="376"/>
        <v>3.8709677419354835</v>
      </c>
      <c r="AB220" s="178">
        <f t="shared" si="377"/>
        <v>2.2119815668202762</v>
      </c>
      <c r="AC220" s="178">
        <f t="shared" si="378"/>
        <v>1.4984391259105099</v>
      </c>
      <c r="AD220" s="178"/>
      <c r="AE220" s="178">
        <f t="shared" si="379"/>
        <v>0.46857142857142853</v>
      </c>
      <c r="AF220" s="560">
        <f>MAX(12000,F220/(0.5*AE220/1000000*Isw_min*Nps))/1000</f>
        <v>124.92563950029748</v>
      </c>
      <c r="AG220" s="543">
        <f t="shared" si="380"/>
        <v>6.723999999999998E-2</v>
      </c>
      <c r="AI220" s="178">
        <f t="shared" si="381"/>
        <v>0.48989794855663565</v>
      </c>
      <c r="AJ220" s="178">
        <f t="shared" si="382"/>
        <v>0.82</v>
      </c>
      <c r="AK220" s="178">
        <f t="shared" si="383"/>
        <v>1.0713860797144557</v>
      </c>
      <c r="AM220" s="560">
        <f t="shared" si="384"/>
        <v>24</v>
      </c>
      <c r="AN220" s="470">
        <f t="shared" si="385"/>
        <v>124.92563950029748</v>
      </c>
      <c r="AP220">
        <f t="shared" si="386"/>
        <v>24</v>
      </c>
      <c r="AQ220">
        <f t="shared" si="387"/>
        <v>124.92563950029748</v>
      </c>
      <c r="AS220" s="6">
        <f t="shared" si="320"/>
        <v>8.0047619047619012</v>
      </c>
      <c r="AT220" s="6">
        <f t="shared" si="388"/>
        <v>0.13666666666666666</v>
      </c>
      <c r="AU220" s="6">
        <f t="shared" si="266"/>
        <v>7.8680952380952345</v>
      </c>
      <c r="AV220" s="6"/>
      <c r="AW220" s="178">
        <f t="shared" si="267"/>
        <v>1.7073170731707325E-2</v>
      </c>
      <c r="AX220" s="178"/>
      <c r="BA220" s="470">
        <f>L*Isw_max^2/(2*Vout_ripple*Vout)*1000000000*((1+M220)/2)^2</f>
        <v>15.348186929124752</v>
      </c>
      <c r="BB220" s="470">
        <f>L*F220^2/(2*Cout*Vout*Nps^2)*1000000000*((1+M220)/(1-M220))^2+F220*RCoutEsr</f>
        <v>8.0960992907801427E-2</v>
      </c>
      <c r="BC220" s="6">
        <f t="shared" si="268"/>
        <v>8.4136690933683395E-2</v>
      </c>
      <c r="BD220" s="470">
        <f>((BY220/I220/Efficiency)*AU220/Cin+(BY220/I220/Efficiency)*RCinEsr)*1000</f>
        <v>0</v>
      </c>
      <c r="CD220" s="577">
        <f t="shared" si="389"/>
        <v>-50</v>
      </c>
      <c r="CE220">
        <f t="shared" si="390"/>
        <v>-50</v>
      </c>
    </row>
    <row r="221" spans="5:85" x14ac:dyDescent="0.2">
      <c r="E221" s="175">
        <v>4</v>
      </c>
      <c r="F221" s="222">
        <f t="shared" si="391"/>
        <v>3.2000000000000001E-2</v>
      </c>
      <c r="G221" s="222"/>
      <c r="H221" s="222">
        <f t="shared" si="361"/>
        <v>0.38400000000000001</v>
      </c>
      <c r="I221" s="556">
        <f t="shared" si="362"/>
        <v>42</v>
      </c>
      <c r="J221" s="452">
        <f t="shared" si="363"/>
        <v>12.25</v>
      </c>
      <c r="K221" s="452">
        <f t="shared" si="364"/>
        <v>54.25</v>
      </c>
      <c r="L221" s="452"/>
      <c r="M221" s="222">
        <f t="shared" si="365"/>
        <v>0.22580645161290322</v>
      </c>
      <c r="N221" s="177">
        <f t="shared" si="366"/>
        <v>18.469838709677418</v>
      </c>
      <c r="O221" s="177">
        <f t="shared" si="319"/>
        <v>0.38400000000000001</v>
      </c>
      <c r="P221" s="222">
        <f t="shared" si="367"/>
        <v>1.5391532258064515</v>
      </c>
      <c r="Q221" s="222">
        <f t="shared" si="368"/>
        <v>12</v>
      </c>
      <c r="R221" s="222"/>
      <c r="S221" s="177">
        <f t="shared" si="369"/>
        <v>2514.097926033035</v>
      </c>
      <c r="T221" s="177">
        <f t="shared" si="370"/>
        <v>12</v>
      </c>
      <c r="U221" s="222">
        <f t="shared" si="371"/>
        <v>8.5241675617615462E-2</v>
      </c>
      <c r="V221" s="222">
        <f t="shared" si="372"/>
        <v>1.4206945936269243E-2</v>
      </c>
      <c r="W221" s="222">
        <f t="shared" si="373"/>
        <v>4.8709528924351694E-2</v>
      </c>
      <c r="X221" s="202">
        <f t="shared" si="374"/>
        <v>350</v>
      </c>
      <c r="Y221" s="452">
        <f t="shared" si="375"/>
        <v>350</v>
      </c>
      <c r="AA221" s="222">
        <f t="shared" si="376"/>
        <v>3.8709677419354835</v>
      </c>
      <c r="AB221" s="178">
        <f t="shared" si="377"/>
        <v>2.2119815668202762</v>
      </c>
      <c r="AC221" s="178">
        <f t="shared" si="378"/>
        <v>1.4984391259105099</v>
      </c>
      <c r="AD221" s="178"/>
      <c r="AE221" s="178">
        <f t="shared" si="379"/>
        <v>0.46857142857142853</v>
      </c>
      <c r="AF221" s="560">
        <f>MAX(12000,F221/(0.5*AE221/1000000*Isw_min*Nps))/1000</f>
        <v>166.56751933372996</v>
      </c>
      <c r="AG221" s="543">
        <f t="shared" si="380"/>
        <v>6.723999999999998E-2</v>
      </c>
      <c r="AI221" s="178">
        <f t="shared" si="381"/>
        <v>0.56568542494923801</v>
      </c>
      <c r="AJ221" s="178">
        <f t="shared" si="382"/>
        <v>0.82</v>
      </c>
      <c r="AK221" s="178">
        <f t="shared" si="383"/>
        <v>1.0951814396192743</v>
      </c>
      <c r="AM221" s="560">
        <f t="shared" si="384"/>
        <v>32</v>
      </c>
      <c r="AN221" s="470">
        <f t="shared" si="385"/>
        <v>166.56751933372996</v>
      </c>
      <c r="AP221">
        <f t="shared" si="386"/>
        <v>32</v>
      </c>
      <c r="AQ221">
        <f t="shared" si="387"/>
        <v>166.56751933372996</v>
      </c>
      <c r="AS221" s="6">
        <f t="shared" si="320"/>
        <v>6.0035714285714272</v>
      </c>
      <c r="AT221" s="6">
        <f t="shared" si="388"/>
        <v>0.13666666666666666</v>
      </c>
      <c r="AU221" s="6">
        <f t="shared" si="266"/>
        <v>5.8669047619047605</v>
      </c>
      <c r="AV221" s="6"/>
      <c r="AW221" s="178">
        <f t="shared" si="267"/>
        <v>2.2764227642276428E-2</v>
      </c>
      <c r="AX221" s="178"/>
      <c r="BA221" s="470">
        <f>L*Isw_max^2/(2*Vout_ripple*Vout)*1000000000*((1+M221)/2)^2</f>
        <v>15.348186929124752</v>
      </c>
      <c r="BB221" s="470">
        <f>L*F221^2/(2*Cout*Vout*Nps^2)*1000000000*((1+M221)/(1-M221))^2+F221*RCoutEsr</f>
        <v>0.11193065405831364</v>
      </c>
      <c r="BC221" s="6">
        <f t="shared" si="268"/>
        <v>8.3649547148294007E-2</v>
      </c>
      <c r="BD221" s="470">
        <f>((BY221/I221/Efficiency)*AU221/Cin+(BY221/I221/Efficiency)*RCinEsr)*1000</f>
        <v>0</v>
      </c>
      <c r="CD221" s="577">
        <f t="shared" si="389"/>
        <v>-50</v>
      </c>
      <c r="CE221">
        <f t="shared" si="390"/>
        <v>-50</v>
      </c>
    </row>
    <row r="222" spans="5:85" x14ac:dyDescent="0.2">
      <c r="E222" s="175">
        <v>5</v>
      </c>
      <c r="F222" s="222">
        <f t="shared" si="391"/>
        <v>4.0000000000000008E-2</v>
      </c>
      <c r="G222" s="222"/>
      <c r="H222" s="222">
        <f t="shared" si="361"/>
        <v>0.48000000000000009</v>
      </c>
      <c r="I222" s="556">
        <f t="shared" si="362"/>
        <v>42</v>
      </c>
      <c r="J222" s="452">
        <f t="shared" si="363"/>
        <v>12.25</v>
      </c>
      <c r="K222" s="452">
        <f t="shared" si="364"/>
        <v>54.25</v>
      </c>
      <c r="L222" s="452"/>
      <c r="M222" s="222">
        <f t="shared" si="365"/>
        <v>0.22580645161290322</v>
      </c>
      <c r="N222" s="177">
        <f t="shared" si="366"/>
        <v>18.469838709677418</v>
      </c>
      <c r="O222" s="177">
        <f t="shared" si="319"/>
        <v>0.48000000000000009</v>
      </c>
      <c r="P222" s="222">
        <f t="shared" si="367"/>
        <v>1.5391532258064515</v>
      </c>
      <c r="Q222" s="222">
        <f t="shared" si="368"/>
        <v>12</v>
      </c>
      <c r="R222" s="222"/>
      <c r="S222" s="177">
        <f t="shared" si="369"/>
        <v>2002.8802417959546</v>
      </c>
      <c r="T222" s="177">
        <f t="shared" si="370"/>
        <v>12</v>
      </c>
      <c r="U222" s="222">
        <f t="shared" si="371"/>
        <v>0.10655209452201936</v>
      </c>
      <c r="V222" s="222">
        <f t="shared" si="372"/>
        <v>1.7758682420336562E-2</v>
      </c>
      <c r="W222" s="222">
        <f t="shared" si="373"/>
        <v>6.0886911155439642E-2</v>
      </c>
      <c r="X222" s="202">
        <f t="shared" si="374"/>
        <v>350</v>
      </c>
      <c r="Y222" s="452">
        <f t="shared" si="375"/>
        <v>350</v>
      </c>
      <c r="AA222" s="222">
        <f t="shared" si="376"/>
        <v>3.8709677419354835</v>
      </c>
      <c r="AB222" s="178">
        <f t="shared" si="377"/>
        <v>2.2119815668202762</v>
      </c>
      <c r="AC222" s="178">
        <f t="shared" si="378"/>
        <v>1.4984391259105099</v>
      </c>
      <c r="AD222" s="178"/>
      <c r="AE222" s="178">
        <f t="shared" si="379"/>
        <v>0.46857142857142853</v>
      </c>
      <c r="AF222" s="560">
        <f>MAX(12000,F222/(0.5*AE222/1000000*Isw_min*Nps))/1000</f>
        <v>208.20939916716247</v>
      </c>
      <c r="AG222" s="543">
        <f t="shared" si="380"/>
        <v>6.723999999999998E-2</v>
      </c>
      <c r="AI222" s="178">
        <f t="shared" si="381"/>
        <v>0.63245553203367599</v>
      </c>
      <c r="AJ222" s="178">
        <f t="shared" si="382"/>
        <v>0.82</v>
      </c>
      <c r="AK222" s="178">
        <f t="shared" si="383"/>
        <v>1.1189767995240929</v>
      </c>
      <c r="AM222" s="560">
        <f t="shared" si="384"/>
        <v>40.000000000000007</v>
      </c>
      <c r="AN222" s="470">
        <f t="shared" si="385"/>
        <v>208.20939916716247</v>
      </c>
      <c r="AP222">
        <f t="shared" si="386"/>
        <v>40.000000000000007</v>
      </c>
      <c r="AQ222">
        <f t="shared" si="387"/>
        <v>208.20939916716247</v>
      </c>
      <c r="AS222" s="6">
        <f t="shared" si="320"/>
        <v>4.8028571428571407</v>
      </c>
      <c r="AT222" s="6">
        <f t="shared" si="388"/>
        <v>0.13666666666666666</v>
      </c>
      <c r="AU222" s="6">
        <f t="shared" si="266"/>
        <v>4.666190476190474</v>
      </c>
      <c r="AV222" s="6"/>
      <c r="AW222" s="178">
        <f t="shared" si="267"/>
        <v>2.8455284552845541E-2</v>
      </c>
      <c r="AX222" s="178"/>
      <c r="BA222" s="470">
        <f>L*Isw_max^2/(2*Vout_ripple*Vout)*1000000000*((1+M222)/2)^2</f>
        <v>15.348186929124752</v>
      </c>
      <c r="BB222" s="470">
        <f>L*F222^2/(2*Cout*Vout*Nps^2)*1000000000*((1+M222)/(1-M222))^2+F222*RCoutEsr</f>
        <v>0.14489164696611509</v>
      </c>
      <c r="BC222" s="6">
        <f t="shared" si="268"/>
        <v>8.3162403362904577E-2</v>
      </c>
      <c r="BD222" s="470">
        <f>((BY222/I222/Efficiency)*AU222/Cin+(BY222/I222/Efficiency)*RCinEsr)*1000</f>
        <v>0</v>
      </c>
      <c r="CD222" s="577">
        <f t="shared" si="389"/>
        <v>-50</v>
      </c>
      <c r="CE222">
        <f t="shared" si="390"/>
        <v>-50</v>
      </c>
    </row>
    <row r="223" spans="5:85" x14ac:dyDescent="0.2">
      <c r="E223" s="175">
        <v>6</v>
      </c>
      <c r="F223" s="222">
        <f t="shared" si="391"/>
        <v>4.8000000000000001E-2</v>
      </c>
      <c r="G223" s="222"/>
      <c r="H223" s="222">
        <f t="shared" si="361"/>
        <v>0.57600000000000007</v>
      </c>
      <c r="I223" s="556">
        <f t="shared" si="362"/>
        <v>42</v>
      </c>
      <c r="J223" s="452">
        <f t="shared" si="363"/>
        <v>12.25</v>
      </c>
      <c r="K223" s="452">
        <f t="shared" si="364"/>
        <v>54.25</v>
      </c>
      <c r="L223" s="452"/>
      <c r="M223" s="222">
        <f t="shared" si="365"/>
        <v>0.22580645161290322</v>
      </c>
      <c r="N223" s="177">
        <f t="shared" si="366"/>
        <v>18.469838709677418</v>
      </c>
      <c r="O223" s="177">
        <f t="shared" si="319"/>
        <v>0.57600000000000007</v>
      </c>
      <c r="P223" s="222">
        <f t="shared" si="367"/>
        <v>1.5391532258064515</v>
      </c>
      <c r="Q223" s="222">
        <f t="shared" si="368"/>
        <v>12</v>
      </c>
      <c r="R223" s="222"/>
      <c r="S223" s="177">
        <f t="shared" si="369"/>
        <v>1662.0688164778594</v>
      </c>
      <c r="T223" s="177">
        <f t="shared" si="370"/>
        <v>12</v>
      </c>
      <c r="U223" s="222">
        <f t="shared" si="371"/>
        <v>0.12786251342642321</v>
      </c>
      <c r="V223" s="222">
        <f t="shared" si="372"/>
        <v>2.1310418904403869E-2</v>
      </c>
      <c r="W223" s="222">
        <f t="shared" si="373"/>
        <v>7.3064293386527548E-2</v>
      </c>
      <c r="X223" s="202">
        <f t="shared" si="374"/>
        <v>350</v>
      </c>
      <c r="Y223" s="452">
        <f t="shared" si="375"/>
        <v>350</v>
      </c>
      <c r="AA223" s="222">
        <f t="shared" si="376"/>
        <v>3.8709677419354835</v>
      </c>
      <c r="AB223" s="178">
        <f t="shared" si="377"/>
        <v>2.2119815668202762</v>
      </c>
      <c r="AC223" s="178">
        <f t="shared" si="378"/>
        <v>1.4984391259105099</v>
      </c>
      <c r="AD223" s="178"/>
      <c r="AE223" s="178">
        <f t="shared" si="379"/>
        <v>0.46857142857142853</v>
      </c>
      <c r="AF223" s="560">
        <f>MAX(12000,F223/(0.5*AE223/1000000*Isw_min*Nps))/1000</f>
        <v>249.85127900059496</v>
      </c>
      <c r="AG223" s="543">
        <f t="shared" si="380"/>
        <v>6.723999999999998E-2</v>
      </c>
      <c r="AI223" s="178">
        <f t="shared" si="381"/>
        <v>0.69282032302755092</v>
      </c>
      <c r="AJ223" s="178">
        <f t="shared" si="382"/>
        <v>0.82</v>
      </c>
      <c r="AK223" s="178">
        <f t="shared" si="383"/>
        <v>1.1427721594289113</v>
      </c>
      <c r="AM223" s="560">
        <f t="shared" si="384"/>
        <v>48</v>
      </c>
      <c r="AN223" s="470">
        <f t="shared" si="385"/>
        <v>249.85127900059496</v>
      </c>
      <c r="AP223">
        <f t="shared" si="386"/>
        <v>48</v>
      </c>
      <c r="AQ223">
        <f t="shared" si="387"/>
        <v>249.85127900059496</v>
      </c>
      <c r="AS223" s="6">
        <f t="shared" si="320"/>
        <v>4.0023809523809506</v>
      </c>
      <c r="AT223" s="6">
        <f t="shared" si="388"/>
        <v>0.13666666666666666</v>
      </c>
      <c r="AU223" s="6">
        <f t="shared" si="266"/>
        <v>3.8657142857142839</v>
      </c>
      <c r="AV223" s="6"/>
      <c r="AW223" s="178">
        <f t="shared" si="267"/>
        <v>3.4146341463414651E-2</v>
      </c>
      <c r="AX223" s="178"/>
      <c r="BA223" s="470">
        <f>L*Isw_max^2/(2*Vout_ripple*Vout)*1000000000*((1+M223)/2)^2</f>
        <v>15.348186929124752</v>
      </c>
      <c r="BB223" s="470">
        <f>L*F223^2/(2*Cout*Vout*Nps^2)*1000000000*((1+M223)/(1-M223))^2+F223*RCoutEsr</f>
        <v>0.17984397163120569</v>
      </c>
      <c r="BC223" s="6">
        <f t="shared" si="268"/>
        <v>8.2675259577515189E-2</v>
      </c>
      <c r="BD223" s="470">
        <f>((BY223/I223/Efficiency)*AU223/Cin+(BY223/I223/Efficiency)*RCinEsr)*1000</f>
        <v>0</v>
      </c>
      <c r="CD223" s="577">
        <f t="shared" si="389"/>
        <v>-50</v>
      </c>
      <c r="CE223">
        <f t="shared" si="390"/>
        <v>-50</v>
      </c>
    </row>
    <row r="224" spans="5:85" x14ac:dyDescent="0.2">
      <c r="E224" s="175">
        <v>7</v>
      </c>
      <c r="F224" s="222">
        <f t="shared" si="391"/>
        <v>5.6000000000000008E-2</v>
      </c>
      <c r="G224" s="222"/>
      <c r="H224" s="222">
        <f t="shared" si="361"/>
        <v>0.67200000000000015</v>
      </c>
      <c r="I224" s="556">
        <f t="shared" si="362"/>
        <v>42</v>
      </c>
      <c r="J224" s="452">
        <f t="shared" si="363"/>
        <v>12.25</v>
      </c>
      <c r="K224" s="452">
        <f t="shared" si="364"/>
        <v>54.25</v>
      </c>
      <c r="L224" s="452"/>
      <c r="M224" s="222">
        <f t="shared" si="365"/>
        <v>0.22580645161290322</v>
      </c>
      <c r="N224" s="177">
        <f t="shared" si="366"/>
        <v>18.469838709677418</v>
      </c>
      <c r="O224" s="177">
        <f t="shared" si="319"/>
        <v>0.67200000000000015</v>
      </c>
      <c r="P224" s="222">
        <f t="shared" si="367"/>
        <v>1.5391532258064515</v>
      </c>
      <c r="Q224" s="222">
        <f t="shared" si="368"/>
        <v>12</v>
      </c>
      <c r="R224" s="222"/>
      <c r="S224" s="177">
        <f t="shared" si="369"/>
        <v>1418.6324001904584</v>
      </c>
      <c r="T224" s="177">
        <f t="shared" si="370"/>
        <v>12</v>
      </c>
      <c r="U224" s="222">
        <f t="shared" si="371"/>
        <v>0.1491729323308271</v>
      </c>
      <c r="V224" s="222">
        <f t="shared" si="372"/>
        <v>2.4862155388471186E-2</v>
      </c>
      <c r="W224" s="222">
        <f t="shared" si="373"/>
        <v>8.5241675617615489E-2</v>
      </c>
      <c r="X224" s="202">
        <f t="shared" si="374"/>
        <v>350</v>
      </c>
      <c r="Y224" s="452">
        <f t="shared" si="375"/>
        <v>350</v>
      </c>
      <c r="AA224" s="222">
        <f t="shared" si="376"/>
        <v>3.8709677419354835</v>
      </c>
      <c r="AB224" s="178">
        <f t="shared" si="377"/>
        <v>2.2119815668202762</v>
      </c>
      <c r="AC224" s="178">
        <f t="shared" si="378"/>
        <v>1.4984391259105099</v>
      </c>
      <c r="AD224" s="178"/>
      <c r="AE224" s="178">
        <f t="shared" si="379"/>
        <v>0.46857142857142853</v>
      </c>
      <c r="AF224" s="560">
        <f>MAX(12000,F224/(0.5*AE224/1000000*Isw_min*Nps))/1000</f>
        <v>291.4931588340275</v>
      </c>
      <c r="AG224" s="543">
        <f t="shared" si="380"/>
        <v>6.723999999999998E-2</v>
      </c>
      <c r="AI224" s="178">
        <f t="shared" si="381"/>
        <v>0.74833147735478833</v>
      </c>
      <c r="AJ224" s="178">
        <f t="shared" si="382"/>
        <v>0.82</v>
      </c>
      <c r="AK224" s="178">
        <f t="shared" si="383"/>
        <v>1.1665675193337299</v>
      </c>
      <c r="AM224" s="560">
        <f t="shared" si="384"/>
        <v>56.000000000000007</v>
      </c>
      <c r="AN224" s="470">
        <f t="shared" si="385"/>
        <v>291.4931588340275</v>
      </c>
      <c r="AP224">
        <f t="shared" si="386"/>
        <v>56.000000000000007</v>
      </c>
      <c r="AQ224">
        <f t="shared" si="387"/>
        <v>291.4931588340275</v>
      </c>
      <c r="AS224" s="6">
        <f t="shared" si="320"/>
        <v>3.4306122448979579</v>
      </c>
      <c r="AT224" s="6">
        <f t="shared" si="388"/>
        <v>0.13666666666666666</v>
      </c>
      <c r="AU224" s="6">
        <f t="shared" si="266"/>
        <v>3.2939455782312912</v>
      </c>
      <c r="AV224" s="6"/>
      <c r="AW224" s="178">
        <f t="shared" si="267"/>
        <v>3.983739837398375E-2</v>
      </c>
      <c r="AX224" s="178"/>
      <c r="BA224" s="470">
        <f>L*Isw_max^2/(2*Vout_ripple*Vout)*1000000000*((1+M224)/2)^2</f>
        <v>15.348186929124752</v>
      </c>
      <c r="BB224" s="470">
        <f>L*F224^2/(2*Cout*Vout*Nps^2)*1000000000*((1+M224)/(1-M224))^2+F224*RCoutEsr</f>
        <v>0.21678762805358556</v>
      </c>
      <c r="BC224" s="6">
        <f t="shared" si="268"/>
        <v>8.2188115792125788E-2</v>
      </c>
      <c r="BD224" s="470">
        <f>((BY224/I224/Efficiency)*AU224/Cin+(BY224/I224/Efficiency)*RCinEsr)*1000</f>
        <v>0</v>
      </c>
      <c r="CD224" s="577">
        <f t="shared" si="389"/>
        <v>-50</v>
      </c>
      <c r="CE224">
        <f t="shared" si="390"/>
        <v>-50</v>
      </c>
    </row>
    <row r="225" spans="5:83" x14ac:dyDescent="0.2">
      <c r="E225" s="175">
        <v>8</v>
      </c>
      <c r="F225" s="222">
        <f t="shared" si="391"/>
        <v>6.4000000000000001E-2</v>
      </c>
      <c r="G225" s="222"/>
      <c r="H225" s="222">
        <f t="shared" si="361"/>
        <v>0.76800000000000002</v>
      </c>
      <c r="I225" s="556">
        <f t="shared" si="362"/>
        <v>42</v>
      </c>
      <c r="J225" s="452">
        <f t="shared" si="363"/>
        <v>12.25</v>
      </c>
      <c r="K225" s="452">
        <f t="shared" si="364"/>
        <v>54.25</v>
      </c>
      <c r="L225" s="452"/>
      <c r="M225" s="222">
        <f t="shared" si="365"/>
        <v>0.22580645161290322</v>
      </c>
      <c r="N225" s="177">
        <f t="shared" si="366"/>
        <v>18.469838709677418</v>
      </c>
      <c r="O225" s="177">
        <f t="shared" si="319"/>
        <v>0.76800000000000002</v>
      </c>
      <c r="P225" s="222">
        <f t="shared" si="367"/>
        <v>1.5391532258064515</v>
      </c>
      <c r="Q225" s="222">
        <f t="shared" si="368"/>
        <v>12</v>
      </c>
      <c r="R225" s="222"/>
      <c r="S225" s="177">
        <f t="shared" si="369"/>
        <v>1236.0553680473258</v>
      </c>
      <c r="T225" s="177">
        <f t="shared" si="370"/>
        <v>12</v>
      </c>
      <c r="U225" s="222">
        <f t="shared" si="371"/>
        <v>0.17048335123523092</v>
      </c>
      <c r="V225" s="222">
        <f t="shared" si="372"/>
        <v>2.8413891872538486E-2</v>
      </c>
      <c r="W225" s="222">
        <f t="shared" si="373"/>
        <v>9.7419057848703389E-2</v>
      </c>
      <c r="X225" s="202">
        <f t="shared" si="374"/>
        <v>350</v>
      </c>
      <c r="Y225" s="452">
        <f t="shared" si="375"/>
        <v>350</v>
      </c>
      <c r="AA225" s="222">
        <f t="shared" si="376"/>
        <v>3.8709677419354835</v>
      </c>
      <c r="AB225" s="178">
        <f t="shared" si="377"/>
        <v>2.2119815668202762</v>
      </c>
      <c r="AC225" s="178">
        <f t="shared" si="378"/>
        <v>1.4984391259105099</v>
      </c>
      <c r="AD225" s="178"/>
      <c r="AE225" s="178">
        <f t="shared" si="379"/>
        <v>0.46857142857142853</v>
      </c>
      <c r="AF225" s="560">
        <f>MAX(12000,F225/(0.5*AE225/1000000*Isw_min*Nps))/1000</f>
        <v>333.13503866745992</v>
      </c>
      <c r="AG225" s="543">
        <f t="shared" si="380"/>
        <v>6.723999999999998E-2</v>
      </c>
      <c r="AI225" s="178">
        <f t="shared" si="381"/>
        <v>0.8</v>
      </c>
      <c r="AJ225" s="178">
        <f t="shared" si="382"/>
        <v>0.82</v>
      </c>
      <c r="AK225" s="178">
        <f t="shared" si="383"/>
        <v>1.1903628792385486</v>
      </c>
      <c r="AM225" s="560">
        <f t="shared" si="384"/>
        <v>64</v>
      </c>
      <c r="AN225" s="470">
        <f t="shared" si="385"/>
        <v>333.13503866745992</v>
      </c>
      <c r="AP225">
        <f t="shared" si="386"/>
        <v>64</v>
      </c>
      <c r="AQ225">
        <f t="shared" si="387"/>
        <v>333.13503866745992</v>
      </c>
      <c r="AS225" s="6">
        <f t="shared" si="320"/>
        <v>3.0017857142857136</v>
      </c>
      <c r="AT225" s="6">
        <f t="shared" si="388"/>
        <v>0.13666666666666666</v>
      </c>
      <c r="AU225" s="6">
        <f t="shared" si="266"/>
        <v>2.8651190476190469</v>
      </c>
      <c r="AV225" s="6"/>
      <c r="AW225" s="178">
        <f t="shared" si="267"/>
        <v>4.5528455284552856E-2</v>
      </c>
      <c r="AX225" s="178"/>
      <c r="BA225" s="470">
        <f>L*Isw_max^2/(2*Vout_ripple*Vout)*1000000000*((1+M225)/2)^2</f>
        <v>15.348186929124752</v>
      </c>
      <c r="BB225" s="470">
        <f>L*F225^2/(2*Cout*Vout*Nps^2)*1000000000*((1+M225)/(1-M225))^2+F225*RCoutEsr</f>
        <v>0.25572261623325454</v>
      </c>
      <c r="BC225" s="6">
        <f t="shared" si="268"/>
        <v>8.17009720067364E-2</v>
      </c>
      <c r="BD225" s="470">
        <f>((BY225/I225/Efficiency)*AU225/Cin+(BY225/I225/Efficiency)*RCinEsr)*1000</f>
        <v>0</v>
      </c>
      <c r="CD225" s="577">
        <f t="shared" si="389"/>
        <v>-50</v>
      </c>
      <c r="CE225">
        <f t="shared" si="390"/>
        <v>-50</v>
      </c>
    </row>
    <row r="226" spans="5:83" x14ac:dyDescent="0.2">
      <c r="E226" s="175">
        <v>9</v>
      </c>
      <c r="F226" s="222">
        <f t="shared" si="391"/>
        <v>7.1999999999999995E-2</v>
      </c>
      <c r="G226" s="222"/>
      <c r="H226" s="222">
        <f t="shared" si="361"/>
        <v>0.86399999999999988</v>
      </c>
      <c r="I226" s="556">
        <f t="shared" si="362"/>
        <v>42</v>
      </c>
      <c r="J226" s="452">
        <f t="shared" si="363"/>
        <v>12.25</v>
      </c>
      <c r="K226" s="452">
        <f t="shared" si="364"/>
        <v>54.25</v>
      </c>
      <c r="L226" s="452"/>
      <c r="M226" s="222">
        <f t="shared" si="365"/>
        <v>0.22580645161290322</v>
      </c>
      <c r="N226" s="177">
        <f t="shared" si="366"/>
        <v>18.469838709677418</v>
      </c>
      <c r="O226" s="177">
        <f t="shared" si="319"/>
        <v>0.86399999999999988</v>
      </c>
      <c r="P226" s="222">
        <f t="shared" si="367"/>
        <v>1.5391532258064515</v>
      </c>
      <c r="Q226" s="222">
        <f t="shared" si="368"/>
        <v>12</v>
      </c>
      <c r="R226" s="222"/>
      <c r="S226" s="177">
        <f t="shared" si="369"/>
        <v>1094.0512618306004</v>
      </c>
      <c r="T226" s="177">
        <f t="shared" si="370"/>
        <v>12</v>
      </c>
      <c r="U226" s="222">
        <f t="shared" si="371"/>
        <v>0.19179377013963478</v>
      </c>
      <c r="V226" s="222">
        <f t="shared" si="372"/>
        <v>3.1965628356605796E-2</v>
      </c>
      <c r="W226" s="222">
        <f t="shared" si="373"/>
        <v>0.1095964400797913</v>
      </c>
      <c r="X226" s="202">
        <f t="shared" si="374"/>
        <v>350</v>
      </c>
      <c r="Y226" s="452">
        <f t="shared" si="375"/>
        <v>350</v>
      </c>
      <c r="AA226" s="222">
        <f t="shared" si="376"/>
        <v>3.8709677419354835</v>
      </c>
      <c r="AB226" s="178">
        <f t="shared" si="377"/>
        <v>2.2119815668202762</v>
      </c>
      <c r="AC226" s="178">
        <f t="shared" si="378"/>
        <v>1.4984391259105099</v>
      </c>
      <c r="AD226" s="178"/>
      <c r="AE226" s="178">
        <f t="shared" si="379"/>
        <v>0.46857142857142853</v>
      </c>
      <c r="AF226" s="560">
        <f>MAX(12000,F226/(0.5*AE226/1000000*Isw_min*Nps))/1000</f>
        <v>374.77691850089235</v>
      </c>
      <c r="AG226" s="543">
        <f t="shared" si="380"/>
        <v>6.723999999999998E-2</v>
      </c>
      <c r="AI226" s="178">
        <f t="shared" si="381"/>
        <v>0.84852813742385702</v>
      </c>
      <c r="AJ226" s="178">
        <f t="shared" si="382"/>
        <v>0.84852813742385702</v>
      </c>
      <c r="AK226" s="178">
        <f t="shared" si="383"/>
        <v>1.2211319536473015</v>
      </c>
      <c r="AM226" s="560">
        <f t="shared" si="384"/>
        <v>72</v>
      </c>
      <c r="AN226" s="470">
        <f t="shared" si="385"/>
        <v>350</v>
      </c>
      <c r="AP226">
        <f t="shared" si="386"/>
        <v>72</v>
      </c>
      <c r="AQ226">
        <f t="shared" si="387"/>
        <v>350</v>
      </c>
      <c r="AS226" s="6">
        <f t="shared" si="320"/>
        <v>2.8571428571428572</v>
      </c>
      <c r="AT226" s="6">
        <f t="shared" si="388"/>
        <v>0.1414213562373095</v>
      </c>
      <c r="AU226" s="6">
        <f t="shared" si="266"/>
        <v>2.7157215009055475</v>
      </c>
      <c r="AV226" s="6"/>
      <c r="AW226" s="178">
        <f t="shared" si="267"/>
        <v>4.9497474683058325E-2</v>
      </c>
      <c r="AX226" s="178"/>
      <c r="BA226" s="470">
        <f>L*Isw_max^2/(2*Vout_ripple*Vout)*1000000000*((1+M226)/2)^2</f>
        <v>15.348186929124752</v>
      </c>
      <c r="BB226" s="470">
        <f>L*F226^2/(2*Cout*Vout*Nps^2)*1000000000*((1+M226)/(1-M226))^2+F226*RCoutEsr</f>
        <v>0.29664893617021276</v>
      </c>
      <c r="BC226" s="6">
        <f t="shared" si="268"/>
        <v>8.7120890254614045E-2</v>
      </c>
      <c r="BD226" s="470">
        <f>((BY226/I226/Efficiency)*AU226/Cin+(BY226/I226/Efficiency)*RCinEsr)*1000</f>
        <v>0</v>
      </c>
      <c r="CD226" s="577">
        <f t="shared" si="389"/>
        <v>-50</v>
      </c>
      <c r="CE226">
        <f t="shared" si="390"/>
        <v>-50</v>
      </c>
    </row>
    <row r="227" spans="5:83" x14ac:dyDescent="0.2">
      <c r="E227" s="175">
        <v>10</v>
      </c>
      <c r="F227" s="222">
        <f t="shared" si="391"/>
        <v>8.0000000000000016E-2</v>
      </c>
      <c r="G227" s="222"/>
      <c r="H227" s="222">
        <f t="shared" si="361"/>
        <v>0.96000000000000019</v>
      </c>
      <c r="I227" s="556">
        <f t="shared" si="362"/>
        <v>42</v>
      </c>
      <c r="J227" s="452">
        <f t="shared" si="363"/>
        <v>12.25</v>
      </c>
      <c r="K227" s="452">
        <f t="shared" si="364"/>
        <v>54.25</v>
      </c>
      <c r="L227" s="452"/>
      <c r="M227" s="222">
        <f t="shared" si="365"/>
        <v>0.22580645161290322</v>
      </c>
      <c r="N227" s="177">
        <f t="shared" si="366"/>
        <v>18.469838709677418</v>
      </c>
      <c r="O227" s="177">
        <f t="shared" si="319"/>
        <v>0.96000000000000019</v>
      </c>
      <c r="P227" s="222">
        <f t="shared" si="367"/>
        <v>1.5391532258064515</v>
      </c>
      <c r="Q227" s="222">
        <f t="shared" si="368"/>
        <v>12</v>
      </c>
      <c r="R227" s="222"/>
      <c r="S227" s="177">
        <f t="shared" si="369"/>
        <v>980.44820665769373</v>
      </c>
      <c r="T227" s="177">
        <f t="shared" si="370"/>
        <v>12</v>
      </c>
      <c r="U227" s="222">
        <f t="shared" si="371"/>
        <v>0.21310418904403872</v>
      </c>
      <c r="V227" s="222">
        <f t="shared" si="372"/>
        <v>3.5517364840673124E-2</v>
      </c>
      <c r="W227" s="222">
        <f t="shared" si="373"/>
        <v>0.12177382231087928</v>
      </c>
      <c r="X227" s="202">
        <f t="shared" si="374"/>
        <v>350</v>
      </c>
      <c r="Y227" s="452">
        <f t="shared" si="375"/>
        <v>350</v>
      </c>
      <c r="AA227" s="222">
        <f t="shared" si="376"/>
        <v>3.8709677419354835</v>
      </c>
      <c r="AB227" s="178">
        <f t="shared" si="377"/>
        <v>2.2119815668202762</v>
      </c>
      <c r="AC227" s="178">
        <f t="shared" si="378"/>
        <v>1.4984391259105099</v>
      </c>
      <c r="AD227" s="178"/>
      <c r="AE227" s="178">
        <f t="shared" si="379"/>
        <v>0.46857142857142853</v>
      </c>
      <c r="AF227" s="560">
        <f>MAX(12000,F227/(0.5*AE227/1000000*Isw_min*Nps))/1000</f>
        <v>416.41879833432495</v>
      </c>
      <c r="AG227" s="543">
        <f t="shared" si="380"/>
        <v>6.723999999999998E-2</v>
      </c>
      <c r="AI227" s="178">
        <f t="shared" si="381"/>
        <v>0.89442719099991608</v>
      </c>
      <c r="AJ227" s="178">
        <f t="shared" si="382"/>
        <v>0.89442719099991608</v>
      </c>
      <c r="AK227" s="178">
        <f t="shared" si="383"/>
        <v>1.2551312525925304</v>
      </c>
      <c r="AM227" s="560">
        <f t="shared" si="384"/>
        <v>80.000000000000014</v>
      </c>
      <c r="AN227" s="470">
        <f t="shared" si="385"/>
        <v>350</v>
      </c>
      <c r="AP227">
        <f t="shared" si="386"/>
        <v>80.000000000000014</v>
      </c>
      <c r="AQ227">
        <f t="shared" si="387"/>
        <v>350</v>
      </c>
      <c r="AS227" s="6">
        <f t="shared" si="320"/>
        <v>2.8571428571428572</v>
      </c>
      <c r="AT227" s="6">
        <f t="shared" si="388"/>
        <v>0.14907119849998604</v>
      </c>
      <c r="AU227" s="6">
        <f t="shared" si="266"/>
        <v>2.7080716586428712</v>
      </c>
      <c r="AV227" s="6"/>
      <c r="AW227" s="178">
        <f t="shared" si="267"/>
        <v>5.2174919474995113E-2</v>
      </c>
      <c r="AX227" s="178"/>
      <c r="BA227" s="470">
        <f>L*Isw_max^2/(2*Vout_ripple*Vout)*1000000000*((1+M227)/2)^2</f>
        <v>15.348186929124752</v>
      </c>
      <c r="BB227" s="470">
        <f>L*F227^2/(2*Cout*Vout*Nps^2)*1000000000*((1+M227)/(1-M227))^2+F227*RCoutEsr</f>
        <v>0.33956658786446031</v>
      </c>
      <c r="BC227" s="6">
        <f t="shared" si="268"/>
        <v>9.6528313090027171E-2</v>
      </c>
      <c r="BD227" s="470">
        <f>((BY227/I227/Efficiency)*AU227/Cin+(BY227/I227/Efficiency)*RCinEsr)*1000</f>
        <v>0</v>
      </c>
      <c r="CD227" s="577">
        <f t="shared" si="389"/>
        <v>-50</v>
      </c>
      <c r="CE227">
        <f t="shared" si="390"/>
        <v>-50</v>
      </c>
    </row>
    <row r="228" spans="5:83" x14ac:dyDescent="0.2">
      <c r="E228" s="175">
        <v>11</v>
      </c>
      <c r="F228" s="222">
        <f t="shared" si="391"/>
        <v>8.8000000000000009E-2</v>
      </c>
      <c r="G228" s="222"/>
      <c r="H228" s="222">
        <f t="shared" si="361"/>
        <v>1.056</v>
      </c>
      <c r="I228" s="556">
        <f t="shared" si="362"/>
        <v>42</v>
      </c>
      <c r="J228" s="452">
        <f t="shared" si="363"/>
        <v>12.25</v>
      </c>
      <c r="K228" s="452">
        <f t="shared" si="364"/>
        <v>54.25</v>
      </c>
      <c r="L228" s="452"/>
      <c r="M228" s="222">
        <f t="shared" si="365"/>
        <v>0.22580645161290322</v>
      </c>
      <c r="N228" s="177">
        <f t="shared" si="366"/>
        <v>18.469838709677418</v>
      </c>
      <c r="O228" s="177">
        <f t="shared" si="319"/>
        <v>1.056</v>
      </c>
      <c r="P228" s="222">
        <f t="shared" si="367"/>
        <v>1.5391532258064515</v>
      </c>
      <c r="Q228" s="222">
        <f t="shared" si="368"/>
        <v>12</v>
      </c>
      <c r="R228" s="222"/>
      <c r="S228" s="177">
        <f t="shared" si="369"/>
        <v>887.50046401163593</v>
      </c>
      <c r="T228" s="177">
        <f t="shared" si="370"/>
        <v>12</v>
      </c>
      <c r="U228" s="222">
        <f t="shared" si="371"/>
        <v>0.23441460794844254</v>
      </c>
      <c r="V228" s="222">
        <f t="shared" si="372"/>
        <v>3.9069101324740431E-2</v>
      </c>
      <c r="W228" s="222">
        <f t="shared" si="373"/>
        <v>0.13395120454196718</v>
      </c>
      <c r="X228" s="202">
        <f t="shared" si="374"/>
        <v>350</v>
      </c>
      <c r="Y228" s="452">
        <f t="shared" si="375"/>
        <v>350</v>
      </c>
      <c r="AA228" s="222">
        <f t="shared" si="376"/>
        <v>3.8709677419354835</v>
      </c>
      <c r="AB228" s="178">
        <f t="shared" si="377"/>
        <v>2.2119815668202762</v>
      </c>
      <c r="AC228" s="178">
        <f t="shared" si="378"/>
        <v>1.4984391259105099</v>
      </c>
      <c r="AD228" s="178"/>
      <c r="AE228" s="178">
        <f t="shared" si="379"/>
        <v>0.46857142857142853</v>
      </c>
      <c r="AF228" s="560">
        <f>MAX(12000,F228/(0.5*AE228/1000000*Isw_min*Nps))/1000</f>
        <v>458.06067816775743</v>
      </c>
      <c r="AG228" s="543">
        <f t="shared" si="380"/>
        <v>6.723999999999998E-2</v>
      </c>
      <c r="AI228" s="178">
        <f t="shared" si="381"/>
        <v>0.93808315196468595</v>
      </c>
      <c r="AJ228" s="178">
        <f t="shared" si="382"/>
        <v>0.93808315196468595</v>
      </c>
      <c r="AK228" s="178">
        <f t="shared" si="383"/>
        <v>1.2874690014553229</v>
      </c>
      <c r="AM228" s="560">
        <f t="shared" si="384"/>
        <v>88.000000000000014</v>
      </c>
      <c r="AN228" s="470">
        <f t="shared" si="385"/>
        <v>350</v>
      </c>
      <c r="AP228">
        <f t="shared" si="386"/>
        <v>88.000000000000014</v>
      </c>
      <c r="AQ228">
        <f t="shared" si="387"/>
        <v>350</v>
      </c>
      <c r="AS228" s="6">
        <f t="shared" si="320"/>
        <v>2.8571428571428572</v>
      </c>
      <c r="AT228" s="6">
        <f t="shared" si="388"/>
        <v>0.15634719199411432</v>
      </c>
      <c r="AU228" s="6">
        <f t="shared" si="266"/>
        <v>2.700795665148743</v>
      </c>
      <c r="AV228" s="6"/>
      <c r="AW228" s="178">
        <f t="shared" si="267"/>
        <v>5.4721517197940009E-2</v>
      </c>
      <c r="AX228" s="178"/>
      <c r="BA228" s="470">
        <f>L*Isw_max^2/(2*Vout_ripple*Vout)*1000000000*((1+M228)/2)^2</f>
        <v>15.348186929124752</v>
      </c>
      <c r="BB228" s="470">
        <f>L*F228^2/(2*Cout*Vout*Nps^2)*1000000000*((1+M228)/(1-M228))^2+F228*RCoutEsr</f>
        <v>0.38447557131599691</v>
      </c>
      <c r="BC228" s="6">
        <f t="shared" si="268"/>
        <v>0.10589585899552856</v>
      </c>
      <c r="BD228" s="470">
        <f>((BY228/I228/Efficiency)*AU228/Cin+(BY228/I228/Efficiency)*RCinEsr)*1000</f>
        <v>0</v>
      </c>
      <c r="CD228" s="577">
        <f t="shared" si="389"/>
        <v>-50</v>
      </c>
      <c r="CE228">
        <f t="shared" si="390"/>
        <v>-50</v>
      </c>
    </row>
    <row r="229" spans="5:83" x14ac:dyDescent="0.2">
      <c r="E229" s="175">
        <v>12</v>
      </c>
      <c r="F229" s="222">
        <f t="shared" si="391"/>
        <v>9.6000000000000002E-2</v>
      </c>
      <c r="G229" s="222"/>
      <c r="H229" s="222">
        <f t="shared" si="361"/>
        <v>1.1520000000000001</v>
      </c>
      <c r="I229" s="556">
        <f t="shared" si="362"/>
        <v>42</v>
      </c>
      <c r="J229" s="452">
        <f t="shared" si="363"/>
        <v>12.25</v>
      </c>
      <c r="K229" s="452">
        <f t="shared" si="364"/>
        <v>54.25</v>
      </c>
      <c r="L229" s="452"/>
      <c r="M229" s="222">
        <f t="shared" si="365"/>
        <v>0.22580645161290322</v>
      </c>
      <c r="N229" s="177">
        <f t="shared" si="366"/>
        <v>18.469838709677418</v>
      </c>
      <c r="O229" s="177">
        <f t="shared" si="319"/>
        <v>1.1520000000000001</v>
      </c>
      <c r="P229" s="222">
        <f t="shared" si="367"/>
        <v>1.5391532258064515</v>
      </c>
      <c r="Q229" s="222">
        <f t="shared" si="368"/>
        <v>12</v>
      </c>
      <c r="R229" s="222"/>
      <c r="S229" s="177">
        <f t="shared" si="369"/>
        <v>810.04420825626391</v>
      </c>
      <c r="T229" s="177">
        <f t="shared" si="370"/>
        <v>12</v>
      </c>
      <c r="U229" s="222">
        <f t="shared" si="371"/>
        <v>0.25572502685284643</v>
      </c>
      <c r="V229" s="222">
        <f t="shared" si="372"/>
        <v>4.2620837808807738E-2</v>
      </c>
      <c r="W229" s="222">
        <f t="shared" si="373"/>
        <v>0.1461285867730551</v>
      </c>
      <c r="X229" s="202">
        <f t="shared" si="374"/>
        <v>350</v>
      </c>
      <c r="Y229" s="452">
        <f t="shared" si="375"/>
        <v>350</v>
      </c>
      <c r="AA229" s="222">
        <f t="shared" si="376"/>
        <v>3.8709677419354835</v>
      </c>
      <c r="AB229" s="178">
        <f t="shared" si="377"/>
        <v>2.2119815668202762</v>
      </c>
      <c r="AC229" s="178">
        <f t="shared" si="378"/>
        <v>1.4984391259105099</v>
      </c>
      <c r="AD229" s="178"/>
      <c r="AE229" s="178">
        <f t="shared" si="379"/>
        <v>0.46857142857142853</v>
      </c>
      <c r="AF229" s="560">
        <f>MAX(12000,F229/(0.5*AE229/1000000*Isw_min*Nps))/1000</f>
        <v>499.70255800118991</v>
      </c>
      <c r="AG229" s="543">
        <f t="shared" si="380"/>
        <v>6.723999999999998E-2</v>
      </c>
      <c r="AI229" s="178">
        <f t="shared" si="381"/>
        <v>0.97979589711327131</v>
      </c>
      <c r="AJ229" s="178">
        <f t="shared" si="382"/>
        <v>0.97979589711327131</v>
      </c>
      <c r="AK229" s="178">
        <f t="shared" si="383"/>
        <v>1.3183673311950157</v>
      </c>
      <c r="AM229" s="560">
        <f t="shared" si="384"/>
        <v>96</v>
      </c>
      <c r="AN229" s="470">
        <f t="shared" si="385"/>
        <v>350</v>
      </c>
      <c r="AP229">
        <f t="shared" si="386"/>
        <v>96</v>
      </c>
      <c r="AQ229">
        <f t="shared" si="387"/>
        <v>350</v>
      </c>
      <c r="AS229" s="6">
        <f t="shared" si="320"/>
        <v>2.8571428571428572</v>
      </c>
      <c r="AT229" s="6">
        <f t="shared" si="388"/>
        <v>0.16329931618554525</v>
      </c>
      <c r="AU229" s="6">
        <f t="shared" si="266"/>
        <v>2.693843540957312</v>
      </c>
      <c r="AV229" s="6"/>
      <c r="AW229" s="178">
        <f t="shared" si="267"/>
        <v>5.7154760664940837E-2</v>
      </c>
      <c r="AX229" s="178"/>
      <c r="BA229" s="470">
        <f>L*Isw_max^2/(2*Vout_ripple*Vout)*1000000000*((1+M229)/2)^2</f>
        <v>15.348186929124752</v>
      </c>
      <c r="BB229" s="470">
        <f>L*F229^2/(2*Cout*Vout*Nps^2)*1000000000*((1+M229)/(1-M229))^2+F229*RCoutEsr</f>
        <v>0.43137588652482278</v>
      </c>
      <c r="BC229" s="6">
        <f t="shared" si="268"/>
        <v>0.11522538788388839</v>
      </c>
      <c r="BD229" s="470">
        <f>((BY229/I229/Efficiency)*AU229/Cin+(BY229/I229/Efficiency)*RCinEsr)*1000</f>
        <v>0</v>
      </c>
      <c r="CD229" s="577">
        <f t="shared" si="389"/>
        <v>-50</v>
      </c>
      <c r="CE229">
        <f t="shared" si="390"/>
        <v>-50</v>
      </c>
    </row>
    <row r="230" spans="5:83" x14ac:dyDescent="0.2">
      <c r="E230" s="175">
        <v>13</v>
      </c>
      <c r="F230" s="222">
        <f t="shared" si="391"/>
        <v>0.10400000000000001</v>
      </c>
      <c r="G230" s="222"/>
      <c r="H230" s="222">
        <f t="shared" si="361"/>
        <v>1.2480000000000002</v>
      </c>
      <c r="I230" s="556">
        <f t="shared" si="362"/>
        <v>42</v>
      </c>
      <c r="J230" s="452">
        <f t="shared" si="363"/>
        <v>12.25</v>
      </c>
      <c r="K230" s="452">
        <f t="shared" si="364"/>
        <v>54.25</v>
      </c>
      <c r="L230" s="452"/>
      <c r="M230" s="222">
        <f t="shared" si="365"/>
        <v>0.22580645161290322</v>
      </c>
      <c r="N230" s="177">
        <f t="shared" si="366"/>
        <v>18.469838709677418</v>
      </c>
      <c r="O230" s="177">
        <f t="shared" si="319"/>
        <v>1.2480000000000002</v>
      </c>
      <c r="P230" s="222">
        <f t="shared" si="367"/>
        <v>1.5391532258064515</v>
      </c>
      <c r="Q230" s="222">
        <f t="shared" si="368"/>
        <v>12</v>
      </c>
      <c r="R230" s="222"/>
      <c r="S230" s="177">
        <f t="shared" si="369"/>
        <v>744.50448322134991</v>
      </c>
      <c r="T230" s="177">
        <f t="shared" si="370"/>
        <v>12</v>
      </c>
      <c r="U230" s="222">
        <f t="shared" si="371"/>
        <v>0.27703544575725031</v>
      </c>
      <c r="V230" s="222">
        <f t="shared" si="372"/>
        <v>4.6172574292875052E-2</v>
      </c>
      <c r="W230" s="222">
        <f t="shared" si="373"/>
        <v>0.15830596900414304</v>
      </c>
      <c r="X230" s="202">
        <f t="shared" si="374"/>
        <v>350</v>
      </c>
      <c r="Y230" s="452">
        <f t="shared" si="375"/>
        <v>350</v>
      </c>
      <c r="AA230" s="222">
        <f t="shared" si="376"/>
        <v>3.8709677419354835</v>
      </c>
      <c r="AB230" s="178">
        <f t="shared" si="377"/>
        <v>2.2119815668202762</v>
      </c>
      <c r="AC230" s="178">
        <f t="shared" si="378"/>
        <v>1.4984391259105099</v>
      </c>
      <c r="AD230" s="178"/>
      <c r="AE230" s="178">
        <f t="shared" si="379"/>
        <v>0.46857142857142853</v>
      </c>
      <c r="AF230" s="560">
        <f>MAX(12000,F230/(0.5*AE230/1000000*Isw_min*Nps))/1000</f>
        <v>541.34443783462245</v>
      </c>
      <c r="AG230" s="543">
        <f t="shared" si="380"/>
        <v>6.723999999999998E-2</v>
      </c>
      <c r="AI230" s="178">
        <f t="shared" si="381"/>
        <v>1.019803902718557</v>
      </c>
      <c r="AJ230" s="178">
        <f t="shared" si="382"/>
        <v>1.019803902718557</v>
      </c>
      <c r="AK230" s="178">
        <f t="shared" si="383"/>
        <v>1.3480028909026349</v>
      </c>
      <c r="AM230" s="560">
        <f t="shared" si="384"/>
        <v>104.00000000000001</v>
      </c>
      <c r="AN230" s="470">
        <f t="shared" si="385"/>
        <v>350</v>
      </c>
      <c r="AP230">
        <f t="shared" si="386"/>
        <v>104.00000000000001</v>
      </c>
      <c r="AQ230">
        <f t="shared" si="387"/>
        <v>350</v>
      </c>
      <c r="AS230" s="6">
        <f t="shared" si="320"/>
        <v>2.8571428571428572</v>
      </c>
      <c r="AT230" s="6">
        <f t="shared" si="388"/>
        <v>0.16996731711975949</v>
      </c>
      <c r="AU230" s="6">
        <f t="shared" si="266"/>
        <v>2.6871755400230977</v>
      </c>
      <c r="AV230" s="6"/>
      <c r="AW230" s="178">
        <f t="shared" si="267"/>
        <v>5.9488560991915816E-2</v>
      </c>
      <c r="AX230" s="178"/>
      <c r="BA230" s="470">
        <f>L*Isw_max^2/(2*Vout_ripple*Vout)*1000000000*((1+M230)/2)^2</f>
        <v>15.348186929124752</v>
      </c>
      <c r="BB230" s="470">
        <f>L*F230^2/(2*Cout*Vout*Nps^2)*1000000000*((1+M230)/(1-M230))^2+F230*RCoutEsr</f>
        <v>0.48026753349093787</v>
      </c>
      <c r="BC230" s="6">
        <f t="shared" si="268"/>
        <v>0.1245185212642282</v>
      </c>
      <c r="BD230" s="470">
        <f>((BY230/I230/Efficiency)*AU230/Cin+(BY230/I230/Efficiency)*RCinEsr)*1000</f>
        <v>0</v>
      </c>
      <c r="CD230" s="577">
        <f t="shared" si="389"/>
        <v>-50</v>
      </c>
      <c r="CE230">
        <f t="shared" si="390"/>
        <v>-50</v>
      </c>
    </row>
    <row r="231" spans="5:83" x14ac:dyDescent="0.2">
      <c r="E231" s="175">
        <v>14</v>
      </c>
      <c r="F231" s="222">
        <f t="shared" si="391"/>
        <v>0.11200000000000002</v>
      </c>
      <c r="G231" s="222"/>
      <c r="H231" s="222">
        <f t="shared" si="361"/>
        <v>1.3440000000000003</v>
      </c>
      <c r="I231" s="556">
        <f t="shared" si="362"/>
        <v>42</v>
      </c>
      <c r="J231" s="452">
        <f t="shared" si="363"/>
        <v>12.25</v>
      </c>
      <c r="K231" s="452">
        <f t="shared" si="364"/>
        <v>54.25</v>
      </c>
      <c r="L231" s="452"/>
      <c r="M231" s="222">
        <f t="shared" si="365"/>
        <v>0.22580645161290322</v>
      </c>
      <c r="N231" s="177">
        <f t="shared" si="366"/>
        <v>18.469838709677418</v>
      </c>
      <c r="O231" s="177">
        <f t="shared" si="319"/>
        <v>1.3440000000000003</v>
      </c>
      <c r="P231" s="222">
        <f t="shared" si="367"/>
        <v>1.5391532258064515</v>
      </c>
      <c r="Q231" s="222">
        <f t="shared" si="368"/>
        <v>12</v>
      </c>
      <c r="R231" s="222"/>
      <c r="S231" s="177">
        <f t="shared" si="369"/>
        <v>688.32774882268973</v>
      </c>
      <c r="T231" s="177">
        <f t="shared" si="370"/>
        <v>12</v>
      </c>
      <c r="U231" s="222">
        <f t="shared" si="371"/>
        <v>0.29834586466165419</v>
      </c>
      <c r="V231" s="222">
        <f t="shared" si="372"/>
        <v>4.9724310776942372E-2</v>
      </c>
      <c r="W231" s="222">
        <f t="shared" si="373"/>
        <v>0.17048335123523098</v>
      </c>
      <c r="X231" s="202">
        <f t="shared" si="374"/>
        <v>350</v>
      </c>
      <c r="Y231" s="452">
        <f t="shared" si="375"/>
        <v>350</v>
      </c>
      <c r="AA231" s="222">
        <f t="shared" si="376"/>
        <v>3.8709677419354835</v>
      </c>
      <c r="AB231" s="178">
        <f t="shared" si="377"/>
        <v>2.2119815668202762</v>
      </c>
      <c r="AC231" s="178">
        <f t="shared" si="378"/>
        <v>1.4984391259105099</v>
      </c>
      <c r="AD231" s="178"/>
      <c r="AE231" s="178">
        <f t="shared" si="379"/>
        <v>0.46857142857142853</v>
      </c>
      <c r="AF231" s="560">
        <f>MAX(12000,F231/(0.5*AE231/1000000*Isw_min*Nps))/1000</f>
        <v>582.98631766805499</v>
      </c>
      <c r="AG231" s="543">
        <f t="shared" si="380"/>
        <v>6.723999999999998E-2</v>
      </c>
      <c r="AI231" s="178">
        <f t="shared" si="381"/>
        <v>1.0583005244258363</v>
      </c>
      <c r="AJ231" s="178">
        <f t="shared" si="382"/>
        <v>1.0583005244258363</v>
      </c>
      <c r="AK231" s="178">
        <f t="shared" si="383"/>
        <v>1.3765189069821009</v>
      </c>
      <c r="AM231" s="560">
        <f t="shared" si="384"/>
        <v>112.00000000000001</v>
      </c>
      <c r="AN231" s="470">
        <f t="shared" si="385"/>
        <v>350</v>
      </c>
      <c r="AP231">
        <f t="shared" si="386"/>
        <v>112.00000000000001</v>
      </c>
      <c r="AQ231">
        <f t="shared" si="387"/>
        <v>350</v>
      </c>
      <c r="AS231" s="6">
        <f t="shared" si="320"/>
        <v>2.8571428571428572</v>
      </c>
      <c r="AT231" s="6">
        <f t="shared" si="388"/>
        <v>0.17638342073763941</v>
      </c>
      <c r="AU231" s="6">
        <f t="shared" si="266"/>
        <v>2.6807594364052179</v>
      </c>
      <c r="AV231" s="6"/>
      <c r="AW231" s="178">
        <f t="shared" si="267"/>
        <v>6.1734197258173792E-2</v>
      </c>
      <c r="AX231" s="178"/>
      <c r="BA231" s="470">
        <f>L*Isw_max^2/(2*Vout_ripple*Vout)*1000000000*((1+M231)/2)^2</f>
        <v>15.348186929124752</v>
      </c>
      <c r="BB231" s="470">
        <f>L*F231^2/(2*Cout*Vout*Nps^2)*1000000000*((1+M231)/(1-M231))^2+F231*RCoutEsr</f>
        <v>0.53115051221434217</v>
      </c>
      <c r="BC231" s="6">
        <f t="shared" si="268"/>
        <v>0.13377668922412006</v>
      </c>
      <c r="BD231" s="470">
        <f>((BY231/I231/Efficiency)*AU231/Cin+(BY231/I231/Efficiency)*RCinEsr)*1000</f>
        <v>0</v>
      </c>
      <c r="CD231" s="577">
        <f t="shared" si="389"/>
        <v>-50</v>
      </c>
      <c r="CE231">
        <f t="shared" si="390"/>
        <v>-50</v>
      </c>
    </row>
    <row r="232" spans="5:83" x14ac:dyDescent="0.2">
      <c r="E232" s="175">
        <v>15</v>
      </c>
      <c r="F232" s="222">
        <f t="shared" si="391"/>
        <v>0.12</v>
      </c>
      <c r="G232" s="222"/>
      <c r="H232" s="222">
        <f t="shared" si="361"/>
        <v>1.44</v>
      </c>
      <c r="I232" s="556">
        <f t="shared" si="362"/>
        <v>42</v>
      </c>
      <c r="J232" s="452">
        <f t="shared" si="363"/>
        <v>12.25</v>
      </c>
      <c r="K232" s="452">
        <f t="shared" si="364"/>
        <v>54.25</v>
      </c>
      <c r="L232" s="452"/>
      <c r="M232" s="222">
        <f t="shared" si="365"/>
        <v>0.22580645161290322</v>
      </c>
      <c r="N232" s="177">
        <f t="shared" si="366"/>
        <v>18.469838709677418</v>
      </c>
      <c r="O232" s="177">
        <f t="shared" si="319"/>
        <v>1.44</v>
      </c>
      <c r="P232" s="222">
        <f t="shared" si="367"/>
        <v>1.5391532258064515</v>
      </c>
      <c r="Q232" s="222">
        <f t="shared" si="368"/>
        <v>12</v>
      </c>
      <c r="R232" s="222"/>
      <c r="S232" s="177">
        <f t="shared" si="369"/>
        <v>639.64140903417626</v>
      </c>
      <c r="T232" s="177">
        <f t="shared" si="370"/>
        <v>12</v>
      </c>
      <c r="U232" s="222">
        <f t="shared" si="371"/>
        <v>0.31965628356605796</v>
      </c>
      <c r="V232" s="222">
        <f t="shared" si="372"/>
        <v>5.3276047261009658E-2</v>
      </c>
      <c r="W232" s="222">
        <f t="shared" si="373"/>
        <v>0.18266073346631884</v>
      </c>
      <c r="X232" s="202">
        <f t="shared" si="374"/>
        <v>350</v>
      </c>
      <c r="Y232" s="452">
        <f t="shared" si="375"/>
        <v>350</v>
      </c>
      <c r="AA232" s="222">
        <f t="shared" si="376"/>
        <v>3.8709677419354835</v>
      </c>
      <c r="AB232" s="178">
        <f t="shared" si="377"/>
        <v>2.2119815668202762</v>
      </c>
      <c r="AC232" s="178">
        <f t="shared" si="378"/>
        <v>1.4984391259105099</v>
      </c>
      <c r="AD232" s="178"/>
      <c r="AE232" s="178">
        <f t="shared" si="379"/>
        <v>0.46857142857142853</v>
      </c>
      <c r="AF232" s="560">
        <f>MAX(12000,F232/(0.5*AE232/1000000*Isw_min*Nps))/1000</f>
        <v>624.62819750148731</v>
      </c>
      <c r="AG232" s="543">
        <f t="shared" si="380"/>
        <v>6.723999999999998E-2</v>
      </c>
      <c r="AI232" s="178">
        <f t="shared" si="381"/>
        <v>1.0954451150103321</v>
      </c>
      <c r="AJ232" s="178">
        <f t="shared" si="382"/>
        <v>1.0954451150103321</v>
      </c>
      <c r="AK232" s="178">
        <f t="shared" si="383"/>
        <v>1.404033418526172</v>
      </c>
      <c r="AM232" s="560">
        <f t="shared" si="384"/>
        <v>120</v>
      </c>
      <c r="AN232" s="470">
        <f t="shared" si="385"/>
        <v>350</v>
      </c>
      <c r="AP232">
        <f t="shared" si="386"/>
        <v>120</v>
      </c>
      <c r="AQ232">
        <f t="shared" si="387"/>
        <v>350</v>
      </c>
      <c r="AS232" s="6">
        <f t="shared" si="320"/>
        <v>2.8571428571428572</v>
      </c>
      <c r="AT232" s="6">
        <f t="shared" si="388"/>
        <v>0.18257418583505536</v>
      </c>
      <c r="AU232" s="6">
        <f t="shared" si="266"/>
        <v>2.6745686713078021</v>
      </c>
      <c r="AV232" s="6"/>
      <c r="AW232" s="178">
        <f t="shared" si="267"/>
        <v>6.3900965042269373E-2</v>
      </c>
      <c r="AX232" s="178"/>
      <c r="BA232" s="470">
        <f>L*Isw_max^2/(2*Vout_ripple*Vout)*1000000000*((1+M232)/2)^2</f>
        <v>15.348186929124752</v>
      </c>
      <c r="BB232" s="470">
        <f>L*F232^2/(2*Cout*Vout*Nps^2)*1000000000*((1+M232)/(1-M232))^2+F232*RCoutEsr</f>
        <v>0.58402482269503553</v>
      </c>
      <c r="BC232" s="6">
        <f t="shared" si="268"/>
        <v>0.14300116538320745</v>
      </c>
      <c r="BD232" s="470">
        <f>((BY232/I232/Efficiency)*AU232/Cin+(BY232/I232/Efficiency)*RCinEsr)*1000</f>
        <v>0</v>
      </c>
      <c r="CD232" s="577">
        <f t="shared" si="389"/>
        <v>-50</v>
      </c>
      <c r="CE232">
        <f t="shared" si="390"/>
        <v>-50</v>
      </c>
    </row>
    <row r="233" spans="5:83" x14ac:dyDescent="0.2">
      <c r="E233" s="175">
        <v>16</v>
      </c>
      <c r="F233" s="222">
        <f t="shared" si="391"/>
        <v>0.128</v>
      </c>
      <c r="G233" s="222"/>
      <c r="H233" s="222">
        <f t="shared" si="361"/>
        <v>1.536</v>
      </c>
      <c r="I233" s="556">
        <f t="shared" si="362"/>
        <v>42</v>
      </c>
      <c r="J233" s="452">
        <f t="shared" si="363"/>
        <v>12.25</v>
      </c>
      <c r="K233" s="452">
        <f t="shared" si="364"/>
        <v>54.25</v>
      </c>
      <c r="L233" s="452"/>
      <c r="M233" s="222">
        <f t="shared" si="365"/>
        <v>0.22580645161290322</v>
      </c>
      <c r="N233" s="177">
        <f t="shared" si="366"/>
        <v>18.469838709677418</v>
      </c>
      <c r="O233" s="177">
        <f t="shared" si="319"/>
        <v>1.536</v>
      </c>
      <c r="P233" s="222">
        <f t="shared" si="367"/>
        <v>1.5391532258064515</v>
      </c>
      <c r="Q233" s="222">
        <f t="shared" si="368"/>
        <v>12</v>
      </c>
      <c r="R233" s="222"/>
      <c r="S233" s="177">
        <f t="shared" si="369"/>
        <v>597.04101687036291</v>
      </c>
      <c r="T233" s="177">
        <f t="shared" si="370"/>
        <v>12</v>
      </c>
      <c r="U233" s="222">
        <f t="shared" si="371"/>
        <v>0.34096670247046185</v>
      </c>
      <c r="V233" s="222">
        <f t="shared" si="372"/>
        <v>5.6827783745076972E-2</v>
      </c>
      <c r="W233" s="222">
        <f t="shared" si="373"/>
        <v>0.19483811569740678</v>
      </c>
      <c r="X233" s="202">
        <f t="shared" si="374"/>
        <v>350</v>
      </c>
      <c r="Y233" s="452">
        <f t="shared" si="375"/>
        <v>350</v>
      </c>
      <c r="AA233" s="222">
        <f t="shared" si="376"/>
        <v>3.8709677419354835</v>
      </c>
      <c r="AB233" s="178">
        <f t="shared" si="377"/>
        <v>2.2119815668202762</v>
      </c>
      <c r="AC233" s="178">
        <f t="shared" si="378"/>
        <v>1.4984391259105099</v>
      </c>
      <c r="AD233" s="178"/>
      <c r="AE233" s="178">
        <f t="shared" si="379"/>
        <v>0.46857142857142853</v>
      </c>
      <c r="AF233" s="560">
        <f>MAX(12000,F233/(0.5*AE233/1000000*Isw_min*Nps))/1000</f>
        <v>666.27007733491985</v>
      </c>
      <c r="AG233" s="543">
        <f t="shared" si="380"/>
        <v>6.723999999999998E-2</v>
      </c>
      <c r="AI233" s="178">
        <f t="shared" si="381"/>
        <v>1.131370849898476</v>
      </c>
      <c r="AJ233" s="178">
        <f t="shared" si="382"/>
        <v>1.131370849898476</v>
      </c>
      <c r="AK233" s="178">
        <f t="shared" si="383"/>
        <v>1.4306450739988712</v>
      </c>
      <c r="AM233" s="560">
        <f t="shared" si="384"/>
        <v>128</v>
      </c>
      <c r="AN233" s="470">
        <f t="shared" si="385"/>
        <v>350</v>
      </c>
      <c r="AP233">
        <f t="shared" si="386"/>
        <v>128</v>
      </c>
      <c r="AQ233">
        <f t="shared" si="387"/>
        <v>350</v>
      </c>
      <c r="AS233" s="6">
        <f t="shared" si="320"/>
        <v>2.8571428571428572</v>
      </c>
      <c r="AT233" s="6">
        <f t="shared" si="388"/>
        <v>0.18856180831641267</v>
      </c>
      <c r="AU233" s="6">
        <f t="shared" si="266"/>
        <v>2.6685810488264448</v>
      </c>
      <c r="AV233" s="6"/>
      <c r="AW233" s="178">
        <f t="shared" si="267"/>
        <v>6.5996632910744438E-2</v>
      </c>
      <c r="AX233" s="178"/>
      <c r="BA233" s="470">
        <f>L*Isw_max^2/(2*Vout_ripple*Vout)*1000000000*((1+M233)/2)^2</f>
        <v>15.348186929124752</v>
      </c>
      <c r="BB233" s="470">
        <f>L*F233^2/(2*Cout*Vout*Nps^2)*1000000000*((1+M233)/(1-M233))^2+F233*RCoutEsr</f>
        <v>0.63889046493301827</v>
      </c>
      <c r="BC233" s="6">
        <f t="shared" si="268"/>
        <v>0.15219309351146085</v>
      </c>
      <c r="BD233" s="470">
        <f>((BY233/I233/Efficiency)*AU233/Cin+(BY233/I233/Efficiency)*RCinEsr)*1000</f>
        <v>0</v>
      </c>
      <c r="CD233" s="577">
        <f t="shared" si="389"/>
        <v>-50</v>
      </c>
      <c r="CE233">
        <f t="shared" si="390"/>
        <v>-50</v>
      </c>
    </row>
    <row r="234" spans="5:83" x14ac:dyDescent="0.2">
      <c r="E234" s="175">
        <v>17</v>
      </c>
      <c r="F234" s="222">
        <f t="shared" si="391"/>
        <v>0.13600000000000001</v>
      </c>
      <c r="G234" s="222"/>
      <c r="H234" s="222">
        <f t="shared" si="361"/>
        <v>1.6320000000000001</v>
      </c>
      <c r="I234" s="556">
        <f t="shared" si="362"/>
        <v>42</v>
      </c>
      <c r="J234" s="452">
        <f t="shared" si="363"/>
        <v>12.25</v>
      </c>
      <c r="K234" s="452">
        <f t="shared" si="364"/>
        <v>54.25</v>
      </c>
      <c r="L234" s="452"/>
      <c r="M234" s="222">
        <f t="shared" si="365"/>
        <v>0.22580645161290322</v>
      </c>
      <c r="N234" s="177">
        <f t="shared" si="366"/>
        <v>18.469838709677418</v>
      </c>
      <c r="O234" s="177">
        <f t="shared" si="319"/>
        <v>1.6320000000000001</v>
      </c>
      <c r="P234" s="222">
        <f t="shared" si="367"/>
        <v>1.5391532258064515</v>
      </c>
      <c r="Q234" s="222">
        <f t="shared" si="368"/>
        <v>12</v>
      </c>
      <c r="R234" s="222"/>
      <c r="S234" s="177">
        <f t="shared" si="369"/>
        <v>559.45258349284518</v>
      </c>
      <c r="T234" s="177">
        <f t="shared" si="370"/>
        <v>12</v>
      </c>
      <c r="U234" s="222">
        <f t="shared" si="371"/>
        <v>0.36227712137486578</v>
      </c>
      <c r="V234" s="222">
        <f t="shared" si="372"/>
        <v>6.03795202291443E-2</v>
      </c>
      <c r="W234" s="222">
        <f t="shared" si="373"/>
        <v>0.20701549792849475</v>
      </c>
      <c r="X234" s="202">
        <f t="shared" si="374"/>
        <v>350</v>
      </c>
      <c r="Y234" s="452">
        <f t="shared" si="375"/>
        <v>350</v>
      </c>
      <c r="AA234" s="222">
        <f t="shared" si="376"/>
        <v>3.8709677419354835</v>
      </c>
      <c r="AB234" s="178">
        <f t="shared" si="377"/>
        <v>2.2119815668202762</v>
      </c>
      <c r="AC234" s="178">
        <f t="shared" si="378"/>
        <v>1.4984391259105099</v>
      </c>
      <c r="AD234" s="178"/>
      <c r="AE234" s="178">
        <f t="shared" si="379"/>
        <v>0.46857142857142853</v>
      </c>
      <c r="AF234" s="560">
        <f>MAX(12000,F234/(0.5*AE234/1000000*Isw_min*Nps))/1000</f>
        <v>707.91195716835227</v>
      </c>
      <c r="AG234" s="543">
        <f t="shared" si="380"/>
        <v>6.723999999999998E-2</v>
      </c>
      <c r="AI234" s="178">
        <f t="shared" si="381"/>
        <v>1.1661903789690602</v>
      </c>
      <c r="AJ234" s="178">
        <f t="shared" si="382"/>
        <v>1.1661903789690602</v>
      </c>
      <c r="AK234" s="178">
        <f t="shared" si="383"/>
        <v>1.4564373177548595</v>
      </c>
      <c r="AM234" s="560">
        <f t="shared" si="384"/>
        <v>136</v>
      </c>
      <c r="AN234" s="470">
        <f t="shared" si="385"/>
        <v>350</v>
      </c>
      <c r="AP234">
        <f t="shared" si="386"/>
        <v>136</v>
      </c>
      <c r="AQ234">
        <f t="shared" si="387"/>
        <v>350</v>
      </c>
      <c r="AS234" s="6">
        <f t="shared" si="320"/>
        <v>2.8571428571428572</v>
      </c>
      <c r="AT234" s="6">
        <f t="shared" si="388"/>
        <v>0.19436506316151003</v>
      </c>
      <c r="AU234" s="6">
        <f t="shared" si="266"/>
        <v>2.6627777939813471</v>
      </c>
      <c r="AV234" s="6"/>
      <c r="AW234" s="178">
        <f t="shared" si="267"/>
        <v>6.8027772106528508E-2</v>
      </c>
      <c r="AX234" s="178"/>
      <c r="BA234" s="470">
        <f>L*Isw_max^2/(2*Vout_ripple*Vout)*1000000000*((1+M234)/2)^2</f>
        <v>15.348186929124752</v>
      </c>
      <c r="BB234" s="470">
        <f>L*F234^2/(2*Cout*Vout*Nps^2)*1000000000*((1+M234)/(1-M234))^2+F234*RCoutEsr</f>
        <v>0.69574743892829005</v>
      </c>
      <c r="BC234" s="6">
        <f t="shared" ref="BC234:BC297" si="392">H234/Efficiency/I234*AU234/Vinripple1</f>
        <v>0.16135350820672267</v>
      </c>
      <c r="BD234" s="470">
        <f>((BY234/I234/Efficiency)*AU234/Cin+(BY234/I234/Efficiency)*RCinEsr)*1000</f>
        <v>0</v>
      </c>
      <c r="CD234" s="577">
        <f t="shared" si="389"/>
        <v>-50</v>
      </c>
      <c r="CE234">
        <f t="shared" si="390"/>
        <v>-50</v>
      </c>
    </row>
    <row r="235" spans="5:83" x14ac:dyDescent="0.2">
      <c r="E235" s="175">
        <v>18</v>
      </c>
      <c r="F235" s="222">
        <f t="shared" si="391"/>
        <v>0.14399999999999999</v>
      </c>
      <c r="G235" s="222"/>
      <c r="H235" s="222">
        <f t="shared" si="361"/>
        <v>1.7279999999999998</v>
      </c>
      <c r="I235" s="556">
        <f t="shared" si="362"/>
        <v>42</v>
      </c>
      <c r="J235" s="452">
        <f t="shared" si="363"/>
        <v>12.25</v>
      </c>
      <c r="K235" s="452">
        <f t="shared" si="364"/>
        <v>54.25</v>
      </c>
      <c r="L235" s="452"/>
      <c r="M235" s="222">
        <f t="shared" si="365"/>
        <v>0.22580645161290322</v>
      </c>
      <c r="N235" s="177">
        <f t="shared" si="366"/>
        <v>18.469838709677418</v>
      </c>
      <c r="O235" s="177">
        <f t="shared" si="319"/>
        <v>1.7279999999999998</v>
      </c>
      <c r="P235" s="222">
        <f t="shared" si="367"/>
        <v>1.5391532258064515</v>
      </c>
      <c r="Q235" s="222">
        <f t="shared" si="368"/>
        <v>12</v>
      </c>
      <c r="R235" s="222"/>
      <c r="S235" s="177">
        <f t="shared" si="369"/>
        <v>526.0407842812001</v>
      </c>
      <c r="T235" s="177">
        <f t="shared" si="370"/>
        <v>12</v>
      </c>
      <c r="U235" s="222">
        <f t="shared" si="371"/>
        <v>0.38358754027926956</v>
      </c>
      <c r="V235" s="222">
        <f t="shared" si="372"/>
        <v>6.3931256713211593E-2</v>
      </c>
      <c r="W235" s="222">
        <f t="shared" si="373"/>
        <v>0.2191928801595826</v>
      </c>
      <c r="X235" s="202">
        <f t="shared" si="374"/>
        <v>350</v>
      </c>
      <c r="Y235" s="452">
        <f t="shared" si="375"/>
        <v>350</v>
      </c>
      <c r="AA235" s="222">
        <f t="shared" si="376"/>
        <v>3.8709677419354835</v>
      </c>
      <c r="AB235" s="178">
        <f t="shared" si="377"/>
        <v>2.2119815668202762</v>
      </c>
      <c r="AC235" s="178">
        <f t="shared" si="378"/>
        <v>1.4984391259105099</v>
      </c>
      <c r="AD235" s="178"/>
      <c r="AE235" s="178">
        <f t="shared" si="379"/>
        <v>0.46857142857142853</v>
      </c>
      <c r="AF235" s="560">
        <f>MAX(12000,F235/(0.5*AE235/1000000*Isw_min*Nps))/1000</f>
        <v>749.5538370017847</v>
      </c>
      <c r="AG235" s="543">
        <f t="shared" si="380"/>
        <v>6.723999999999998E-2</v>
      </c>
      <c r="AI235" s="178">
        <f t="shared" si="381"/>
        <v>1.2</v>
      </c>
      <c r="AJ235" s="178">
        <f t="shared" si="382"/>
        <v>1.2</v>
      </c>
      <c r="AK235" s="178">
        <f t="shared" si="383"/>
        <v>1.4814814814814814</v>
      </c>
      <c r="AM235" s="560">
        <f t="shared" si="384"/>
        <v>144</v>
      </c>
      <c r="AN235" s="470">
        <f t="shared" si="385"/>
        <v>350</v>
      </c>
      <c r="AP235">
        <f t="shared" si="386"/>
        <v>144</v>
      </c>
      <c r="AQ235">
        <f t="shared" si="387"/>
        <v>350</v>
      </c>
      <c r="AS235" s="6">
        <f t="shared" si="320"/>
        <v>2.8571428571428572</v>
      </c>
      <c r="AT235" s="6">
        <f t="shared" si="388"/>
        <v>0.19999999999999998</v>
      </c>
      <c r="AU235" s="6">
        <f t="shared" ref="AU235:AU298" si="393">AS235-AT235</f>
        <v>2.657142857142857</v>
      </c>
      <c r="AV235" s="6"/>
      <c r="AW235" s="178">
        <f t="shared" ref="AW235:AW298" si="394">AT235/AS235</f>
        <v>6.9999999999999993E-2</v>
      </c>
      <c r="AX235" s="178"/>
      <c r="BA235" s="470">
        <f>L*Isw_max^2/(2*Vout_ripple*Vout)*1000000000*((1+M235)/2)^2</f>
        <v>15.348186929124752</v>
      </c>
      <c r="BB235" s="470">
        <f>L*F235^2/(2*Cout*Vout*Nps^2)*1000000000*((1+M235)/(1-M235))^2+F235*RCoutEsr</f>
        <v>0.75459574468085111</v>
      </c>
      <c r="BC235" s="6">
        <f t="shared" si="392"/>
        <v>0.1704833512352309</v>
      </c>
      <c r="BD235" s="470">
        <f>((BY235/I235/Efficiency)*AU235/Cin+(BY235/I235/Efficiency)*RCinEsr)*1000</f>
        <v>0</v>
      </c>
      <c r="CD235" s="577">
        <f t="shared" si="389"/>
        <v>-50</v>
      </c>
      <c r="CE235">
        <f t="shared" si="390"/>
        <v>-50</v>
      </c>
    </row>
    <row r="236" spans="5:83" x14ac:dyDescent="0.2">
      <c r="E236" s="175">
        <v>19</v>
      </c>
      <c r="F236" s="222">
        <f t="shared" si="391"/>
        <v>0.15200000000000002</v>
      </c>
      <c r="G236" s="222"/>
      <c r="H236" s="222">
        <f t="shared" si="361"/>
        <v>1.8240000000000003</v>
      </c>
      <c r="I236" s="556">
        <f t="shared" si="362"/>
        <v>42</v>
      </c>
      <c r="J236" s="452">
        <f t="shared" si="363"/>
        <v>12.25</v>
      </c>
      <c r="K236" s="452">
        <f t="shared" si="364"/>
        <v>54.25</v>
      </c>
      <c r="L236" s="452"/>
      <c r="M236" s="222">
        <f t="shared" si="365"/>
        <v>0.22580645161290322</v>
      </c>
      <c r="N236" s="177">
        <f t="shared" si="366"/>
        <v>18.469838709677418</v>
      </c>
      <c r="O236" s="177">
        <f t="shared" si="319"/>
        <v>1.8240000000000003</v>
      </c>
      <c r="P236" s="222">
        <f t="shared" si="367"/>
        <v>1.5391532258064515</v>
      </c>
      <c r="Q236" s="222">
        <f t="shared" si="368"/>
        <v>12</v>
      </c>
      <c r="R236" s="222"/>
      <c r="S236" s="177">
        <f t="shared" si="369"/>
        <v>496.14615246048515</v>
      </c>
      <c r="T236" s="177">
        <f t="shared" si="370"/>
        <v>12</v>
      </c>
      <c r="U236" s="222">
        <f t="shared" si="371"/>
        <v>0.40489795918367355</v>
      </c>
      <c r="V236" s="222">
        <f t="shared" si="372"/>
        <v>6.7482993197278934E-2</v>
      </c>
      <c r="W236" s="222">
        <f t="shared" si="373"/>
        <v>0.2313702623906706</v>
      </c>
      <c r="X236" s="202">
        <f t="shared" si="374"/>
        <v>350</v>
      </c>
      <c r="Y236" s="452">
        <f t="shared" si="375"/>
        <v>350</v>
      </c>
      <c r="AA236" s="222">
        <f t="shared" si="376"/>
        <v>3.8709677419354835</v>
      </c>
      <c r="AB236" s="178">
        <f t="shared" si="377"/>
        <v>2.2119815668202762</v>
      </c>
      <c r="AC236" s="178">
        <f t="shared" si="378"/>
        <v>1.4984391259105099</v>
      </c>
      <c r="AD236" s="178"/>
      <c r="AE236" s="178">
        <f t="shared" si="379"/>
        <v>0.46857142857142853</v>
      </c>
      <c r="AF236" s="560">
        <f>MAX(12000,F236/(0.5*AE236/1000000*Isw_min*Nps))/1000</f>
        <v>791.19571683521747</v>
      </c>
      <c r="AG236" s="543">
        <f t="shared" si="380"/>
        <v>6.723999999999998E-2</v>
      </c>
      <c r="AI236" s="178">
        <f t="shared" si="381"/>
        <v>1.2328828005937955</v>
      </c>
      <c r="AJ236" s="178">
        <f t="shared" si="382"/>
        <v>1.2328828005937955</v>
      </c>
      <c r="AK236" s="178">
        <f t="shared" si="383"/>
        <v>1.5058391115509595</v>
      </c>
      <c r="AM236" s="560">
        <f t="shared" si="384"/>
        <v>152.00000000000003</v>
      </c>
      <c r="AN236" s="470">
        <f t="shared" si="385"/>
        <v>350</v>
      </c>
      <c r="AP236">
        <f t="shared" si="386"/>
        <v>152.00000000000003</v>
      </c>
      <c r="AQ236">
        <f t="shared" si="387"/>
        <v>350</v>
      </c>
      <c r="AS236" s="6">
        <f t="shared" si="320"/>
        <v>2.8571428571428572</v>
      </c>
      <c r="AT236" s="6">
        <f t="shared" si="388"/>
        <v>0.20548046676563259</v>
      </c>
      <c r="AU236" s="6">
        <f t="shared" si="393"/>
        <v>2.6516623903772247</v>
      </c>
      <c r="AV236" s="6"/>
      <c r="AW236" s="178">
        <f t="shared" si="394"/>
        <v>7.1918163367971397E-2</v>
      </c>
      <c r="AX236" s="178"/>
      <c r="BA236" s="470">
        <f>L*Isw_max^2/(2*Vout_ripple*Vout)*1000000000*((1+M236)/2)^2</f>
        <v>15.348186929124752</v>
      </c>
      <c r="BB236" s="470">
        <f>L*F236^2/(2*Cout*Vout*Nps^2)*1000000000*((1+M236)/(1-M236))^2+F236*RCoutEsr</f>
        <v>0.81543538219070155</v>
      </c>
      <c r="BC236" s="6">
        <f t="shared" si="392"/>
        <v>0.17958348463930413</v>
      </c>
      <c r="BD236" s="470">
        <f>((BY236/I236/Efficiency)*AU236/Cin+(BY236/I236/Efficiency)*RCinEsr)*1000</f>
        <v>0</v>
      </c>
      <c r="CD236" s="577">
        <f t="shared" si="389"/>
        <v>-50</v>
      </c>
      <c r="CE236">
        <f t="shared" si="390"/>
        <v>-50</v>
      </c>
    </row>
    <row r="237" spans="5:83" x14ac:dyDescent="0.2">
      <c r="E237" s="175">
        <v>20</v>
      </c>
      <c r="F237" s="222">
        <f t="shared" si="391"/>
        <v>0.16000000000000003</v>
      </c>
      <c r="G237" s="222"/>
      <c r="H237" s="222">
        <f t="shared" si="361"/>
        <v>1.9200000000000004</v>
      </c>
      <c r="I237" s="556">
        <f t="shared" si="362"/>
        <v>42</v>
      </c>
      <c r="J237" s="452">
        <f t="shared" si="363"/>
        <v>12.25</v>
      </c>
      <c r="K237" s="452">
        <f t="shared" si="364"/>
        <v>54.25</v>
      </c>
      <c r="L237" s="452"/>
      <c r="M237" s="222">
        <f t="shared" si="365"/>
        <v>0.22580645161290322</v>
      </c>
      <c r="N237" s="177">
        <f t="shared" si="366"/>
        <v>18.469838709677418</v>
      </c>
      <c r="O237" s="177">
        <f t="shared" si="319"/>
        <v>1.9200000000000004</v>
      </c>
      <c r="P237" s="222">
        <f t="shared" si="367"/>
        <v>1.5391532258064515</v>
      </c>
      <c r="Q237" s="222">
        <f t="shared" si="368"/>
        <v>12</v>
      </c>
      <c r="R237" s="222"/>
      <c r="S237" s="177">
        <f t="shared" si="369"/>
        <v>469.24111464050651</v>
      </c>
      <c r="T237" s="177">
        <f t="shared" si="370"/>
        <v>12</v>
      </c>
      <c r="U237" s="222">
        <f t="shared" si="371"/>
        <v>0.42620837808807743</v>
      </c>
      <c r="V237" s="222">
        <f t="shared" si="372"/>
        <v>7.1034729681346248E-2</v>
      </c>
      <c r="W237" s="222">
        <f t="shared" si="373"/>
        <v>0.24354764462175857</v>
      </c>
      <c r="X237" s="202">
        <f t="shared" si="374"/>
        <v>350</v>
      </c>
      <c r="Y237" s="452">
        <f t="shared" si="375"/>
        <v>350</v>
      </c>
      <c r="AA237" s="222">
        <f t="shared" si="376"/>
        <v>3.8709677419354835</v>
      </c>
      <c r="AB237" s="178">
        <f t="shared" si="377"/>
        <v>2.2119815668202762</v>
      </c>
      <c r="AC237" s="178">
        <f t="shared" si="378"/>
        <v>1.4984391259105099</v>
      </c>
      <c r="AD237" s="178"/>
      <c r="AE237" s="178">
        <f t="shared" si="379"/>
        <v>0.46857142857142853</v>
      </c>
      <c r="AF237" s="560">
        <f>MAX(12000,F237/(0.5*AE237/1000000*Isw_min*Nps))/1000</f>
        <v>832.83759666864989</v>
      </c>
      <c r="AG237" s="543">
        <f t="shared" si="380"/>
        <v>6.723999999999998E-2</v>
      </c>
      <c r="AI237" s="178">
        <f t="shared" si="381"/>
        <v>1.264911064067352</v>
      </c>
      <c r="AJ237" s="178">
        <f t="shared" si="382"/>
        <v>1.264911064067352</v>
      </c>
      <c r="AK237" s="178">
        <f t="shared" si="383"/>
        <v>1.5295637511610014</v>
      </c>
      <c r="AM237" s="560">
        <f t="shared" si="384"/>
        <v>160.00000000000003</v>
      </c>
      <c r="AN237" s="470">
        <f t="shared" si="385"/>
        <v>350</v>
      </c>
      <c r="AP237">
        <f t="shared" si="386"/>
        <v>160.00000000000003</v>
      </c>
      <c r="AQ237">
        <f t="shared" si="387"/>
        <v>350</v>
      </c>
      <c r="AS237" s="6">
        <f t="shared" si="320"/>
        <v>2.8571428571428572</v>
      </c>
      <c r="AT237" s="6">
        <f t="shared" si="388"/>
        <v>0.21081851067789198</v>
      </c>
      <c r="AU237" s="6">
        <f t="shared" si="393"/>
        <v>2.6463243464649651</v>
      </c>
      <c r="AV237" s="6"/>
      <c r="AW237" s="178">
        <f t="shared" si="394"/>
        <v>7.3786478737262184E-2</v>
      </c>
      <c r="AX237" s="178"/>
      <c r="BA237" s="470">
        <f>L*Isw_max^2/(2*Vout_ripple*Vout)*1000000000*((1+M237)/2)^2</f>
        <v>15.348186929124752</v>
      </c>
      <c r="BB237" s="470">
        <f>L*F237^2/(2*Cout*Vout*Nps^2)*1000000000*((1+M237)/(1-M237))^2+F237*RCoutEsr</f>
        <v>0.87826635145784115</v>
      </c>
      <c r="BC237" s="6">
        <f t="shared" si="392"/>
        <v>0.18865470139098614</v>
      </c>
      <c r="BD237" s="470">
        <f>((BY237/I237/Efficiency)*AU237/Cin+(BY237/I237/Efficiency)*RCinEsr)*1000</f>
        <v>0</v>
      </c>
      <c r="CD237" s="577">
        <f t="shared" si="389"/>
        <v>-50</v>
      </c>
      <c r="CE237">
        <f t="shared" si="390"/>
        <v>-50</v>
      </c>
    </row>
    <row r="238" spans="5:83" x14ac:dyDescent="0.2">
      <c r="E238" s="175">
        <v>21</v>
      </c>
      <c r="F238" s="222">
        <f t="shared" si="391"/>
        <v>0.16800000000000001</v>
      </c>
      <c r="G238" s="222"/>
      <c r="H238" s="222">
        <f t="shared" si="361"/>
        <v>2.016</v>
      </c>
      <c r="I238" s="556">
        <f t="shared" si="362"/>
        <v>42</v>
      </c>
      <c r="J238" s="452">
        <f t="shared" si="363"/>
        <v>12.25</v>
      </c>
      <c r="K238" s="452">
        <f t="shared" si="364"/>
        <v>54.25</v>
      </c>
      <c r="L238" s="452"/>
      <c r="M238" s="222">
        <f t="shared" si="365"/>
        <v>0.22580645161290322</v>
      </c>
      <c r="N238" s="177">
        <f t="shared" si="366"/>
        <v>18.469838709677418</v>
      </c>
      <c r="O238" s="177">
        <f t="shared" si="319"/>
        <v>2.016</v>
      </c>
      <c r="P238" s="222">
        <f t="shared" si="367"/>
        <v>1.5391532258064515</v>
      </c>
      <c r="Q238" s="222">
        <f t="shared" si="368"/>
        <v>12</v>
      </c>
      <c r="R238" s="222"/>
      <c r="S238" s="177">
        <f t="shared" si="369"/>
        <v>444.89858762959545</v>
      </c>
      <c r="T238" s="177">
        <f t="shared" si="370"/>
        <v>12</v>
      </c>
      <c r="U238" s="222">
        <f t="shared" si="371"/>
        <v>0.4475187969924812</v>
      </c>
      <c r="V238" s="222">
        <f t="shared" si="372"/>
        <v>7.4586466165413534E-2</v>
      </c>
      <c r="W238" s="222">
        <f t="shared" si="373"/>
        <v>0.25572502685284643</v>
      </c>
      <c r="X238" s="202">
        <f t="shared" si="374"/>
        <v>350</v>
      </c>
      <c r="Y238" s="452">
        <f t="shared" si="375"/>
        <v>350</v>
      </c>
      <c r="AA238" s="222">
        <f t="shared" si="376"/>
        <v>3.8709677419354835</v>
      </c>
      <c r="AB238" s="178">
        <f t="shared" si="377"/>
        <v>2.2119815668202762</v>
      </c>
      <c r="AC238" s="178">
        <f t="shared" si="378"/>
        <v>1.4984391259105099</v>
      </c>
      <c r="AD238" s="178"/>
      <c r="AE238" s="178">
        <f t="shared" si="379"/>
        <v>0.46857142857142853</v>
      </c>
      <c r="AF238" s="560">
        <f>MAX(12000,F238/(0.5*AE238/1000000*Isw_min*Nps))/1000</f>
        <v>874.47947650208232</v>
      </c>
      <c r="AG238" s="543">
        <f t="shared" si="380"/>
        <v>6.723999999999998E-2</v>
      </c>
      <c r="AI238" s="178">
        <f t="shared" si="381"/>
        <v>1.2961481396815722</v>
      </c>
      <c r="AJ238" s="178">
        <f t="shared" si="382"/>
        <v>1.2961481396815722</v>
      </c>
      <c r="AK238" s="178">
        <f t="shared" si="383"/>
        <v>1.5527023256900534</v>
      </c>
      <c r="AM238" s="560">
        <f t="shared" si="384"/>
        <v>168</v>
      </c>
      <c r="AN238" s="470">
        <f t="shared" si="385"/>
        <v>350</v>
      </c>
      <c r="AP238">
        <f t="shared" si="386"/>
        <v>168</v>
      </c>
      <c r="AQ238">
        <f t="shared" si="387"/>
        <v>350</v>
      </c>
      <c r="AS238" s="6">
        <f t="shared" si="320"/>
        <v>2.8571428571428572</v>
      </c>
      <c r="AT238" s="6">
        <f t="shared" si="388"/>
        <v>0.21602468994692869</v>
      </c>
      <c r="AU238" s="6">
        <f t="shared" si="393"/>
        <v>2.6411181671959287</v>
      </c>
      <c r="AV238" s="6"/>
      <c r="AW238" s="178">
        <f t="shared" si="394"/>
        <v>7.5608641481425043E-2</v>
      </c>
      <c r="AX238" s="178"/>
      <c r="BA238" s="470">
        <f>L*Isw_max^2/(2*Vout_ripple*Vout)*1000000000*((1+M238)/2)^2</f>
        <v>15.348186929124752</v>
      </c>
      <c r="BB238" s="470">
        <f>L*F238^2/(2*Cout*Vout*Nps^2)*1000000000*((1+M238)/(1-M238))^2+F238*RCoutEsr</f>
        <v>0.9430886524822697</v>
      </c>
      <c r="BC238" s="6">
        <f t="shared" si="392"/>
        <v>0.19769773415267769</v>
      </c>
      <c r="BD238" s="470">
        <f>((BY238/I238/Efficiency)*AU238/Cin+(BY238/I238/Efficiency)*RCinEsr)*1000</f>
        <v>0</v>
      </c>
      <c r="CD238" s="577">
        <f t="shared" si="389"/>
        <v>-50</v>
      </c>
      <c r="CE238">
        <f t="shared" si="390"/>
        <v>-50</v>
      </c>
    </row>
    <row r="239" spans="5:83" x14ac:dyDescent="0.2">
      <c r="E239" s="175">
        <v>22</v>
      </c>
      <c r="F239" s="222">
        <f t="shared" si="391"/>
        <v>0.17600000000000002</v>
      </c>
      <c r="G239" s="222"/>
      <c r="H239" s="222">
        <f t="shared" si="361"/>
        <v>2.1120000000000001</v>
      </c>
      <c r="I239" s="556">
        <f t="shared" si="362"/>
        <v>42</v>
      </c>
      <c r="J239" s="452">
        <f t="shared" si="363"/>
        <v>12.25</v>
      </c>
      <c r="K239" s="452">
        <f t="shared" si="364"/>
        <v>54.25</v>
      </c>
      <c r="L239" s="452"/>
      <c r="M239" s="222">
        <f t="shared" si="365"/>
        <v>0.22580645161290322</v>
      </c>
      <c r="N239" s="177">
        <f t="shared" si="366"/>
        <v>18.469838709677418</v>
      </c>
      <c r="O239" s="177">
        <f t="shared" si="319"/>
        <v>2.1120000000000001</v>
      </c>
      <c r="P239" s="222">
        <f t="shared" si="367"/>
        <v>1.5391532258064515</v>
      </c>
      <c r="Q239" s="222">
        <f t="shared" si="368"/>
        <v>12</v>
      </c>
      <c r="R239" s="222"/>
      <c r="S239" s="177">
        <f t="shared" si="369"/>
        <v>422.76913975373589</v>
      </c>
      <c r="T239" s="177">
        <f t="shared" si="370"/>
        <v>12</v>
      </c>
      <c r="U239" s="222">
        <f t="shared" si="371"/>
        <v>0.46882921589688509</v>
      </c>
      <c r="V239" s="222">
        <f t="shared" si="372"/>
        <v>7.8138202649480862E-2</v>
      </c>
      <c r="W239" s="222">
        <f t="shared" si="373"/>
        <v>0.26790240908393437</v>
      </c>
      <c r="X239" s="202">
        <f t="shared" si="374"/>
        <v>350</v>
      </c>
      <c r="Y239" s="452">
        <f t="shared" si="375"/>
        <v>350</v>
      </c>
      <c r="AA239" s="222">
        <f t="shared" si="376"/>
        <v>3.8709677419354835</v>
      </c>
      <c r="AB239" s="178">
        <f t="shared" si="377"/>
        <v>2.2119815668202762</v>
      </c>
      <c r="AC239" s="178">
        <f t="shared" si="378"/>
        <v>1.4984391259105099</v>
      </c>
      <c r="AD239" s="178"/>
      <c r="AE239" s="178">
        <f t="shared" si="379"/>
        <v>0.46857142857142853</v>
      </c>
      <c r="AF239" s="560">
        <f>MAX(12000,F239/(0.5*AE239/1000000*Isw_min*Nps))/1000</f>
        <v>916.12135633551486</v>
      </c>
      <c r="AG239" s="543">
        <f t="shared" si="380"/>
        <v>6.723999999999998E-2</v>
      </c>
      <c r="AI239" s="178">
        <f t="shared" si="381"/>
        <v>1.3266499161421601</v>
      </c>
      <c r="AJ239" s="178">
        <f t="shared" si="382"/>
        <v>1.3266499161421601</v>
      </c>
      <c r="AK239" s="178">
        <f t="shared" si="383"/>
        <v>1.5752962341793779</v>
      </c>
      <c r="AM239" s="560">
        <f t="shared" si="384"/>
        <v>176.00000000000003</v>
      </c>
      <c r="AN239" s="470">
        <f t="shared" si="385"/>
        <v>350</v>
      </c>
      <c r="AP239">
        <f t="shared" si="386"/>
        <v>176.00000000000003</v>
      </c>
      <c r="AQ239">
        <f t="shared" si="387"/>
        <v>350</v>
      </c>
      <c r="AS239" s="6">
        <f t="shared" si="320"/>
        <v>2.8571428571428572</v>
      </c>
      <c r="AT239" s="6">
        <f t="shared" si="388"/>
        <v>0.22110831935702668</v>
      </c>
      <c r="AU239" s="6">
        <f t="shared" si="393"/>
        <v>2.6360345377858305</v>
      </c>
      <c r="AV239" s="6"/>
      <c r="AW239" s="178">
        <f t="shared" si="394"/>
        <v>7.7387911774959336E-2</v>
      </c>
      <c r="AX239" s="178"/>
      <c r="BA239" s="470">
        <f>L*Isw_max^2/(2*Vout_ripple*Vout)*1000000000*((1+M239)/2)^2</f>
        <v>15.348186929124752</v>
      </c>
      <c r="BB239" s="470">
        <f>L*F239^2/(2*Cout*Vout*Nps^2)*1000000000*((1+M239)/(1-M239))^2+F239*RCoutEsr</f>
        <v>1.0099022852639876</v>
      </c>
      <c r="BC239" s="6">
        <f t="shared" si="392"/>
        <v>0.20671326255652742</v>
      </c>
      <c r="BD239" s="470">
        <f>((BY239/I239/Efficiency)*AU239/Cin+(BY239/I239/Efficiency)*RCinEsr)*1000</f>
        <v>0</v>
      </c>
      <c r="CD239" s="577">
        <f t="shared" si="389"/>
        <v>-50</v>
      </c>
      <c r="CE239">
        <f t="shared" si="390"/>
        <v>-50</v>
      </c>
    </row>
    <row r="240" spans="5:83" x14ac:dyDescent="0.2">
      <c r="E240" s="175">
        <v>23</v>
      </c>
      <c r="F240" s="222">
        <f t="shared" si="391"/>
        <v>0.18400000000000002</v>
      </c>
      <c r="G240" s="222"/>
      <c r="H240" s="222">
        <f t="shared" si="361"/>
        <v>2.2080000000000002</v>
      </c>
      <c r="I240" s="556">
        <f t="shared" si="362"/>
        <v>42</v>
      </c>
      <c r="J240" s="452">
        <f t="shared" si="363"/>
        <v>12.25</v>
      </c>
      <c r="K240" s="452">
        <f t="shared" si="364"/>
        <v>54.25</v>
      </c>
      <c r="L240" s="452"/>
      <c r="M240" s="222">
        <f t="shared" si="365"/>
        <v>0.22580645161290322</v>
      </c>
      <c r="N240" s="177">
        <f t="shared" si="366"/>
        <v>18.469838709677418</v>
      </c>
      <c r="O240" s="177">
        <f t="shared" si="319"/>
        <v>2.2080000000000002</v>
      </c>
      <c r="P240" s="222">
        <f t="shared" si="367"/>
        <v>1.5391532258064515</v>
      </c>
      <c r="Q240" s="222">
        <f t="shared" si="368"/>
        <v>12</v>
      </c>
      <c r="R240" s="222"/>
      <c r="S240" s="177">
        <f t="shared" si="369"/>
        <v>402.56411009245556</v>
      </c>
      <c r="T240" s="177">
        <f t="shared" si="370"/>
        <v>12</v>
      </c>
      <c r="U240" s="222">
        <f t="shared" si="371"/>
        <v>0.49013963480128897</v>
      </c>
      <c r="V240" s="222">
        <f t="shared" si="372"/>
        <v>8.1689939133548162E-2</v>
      </c>
      <c r="W240" s="222">
        <f t="shared" si="373"/>
        <v>0.28007979131502231</v>
      </c>
      <c r="X240" s="202">
        <f t="shared" si="374"/>
        <v>350</v>
      </c>
      <c r="Y240" s="452">
        <f t="shared" si="375"/>
        <v>350</v>
      </c>
      <c r="AA240" s="222">
        <f t="shared" si="376"/>
        <v>3.8709677419354835</v>
      </c>
      <c r="AB240" s="178">
        <f t="shared" si="377"/>
        <v>2.2119815668202762</v>
      </c>
      <c r="AC240" s="178">
        <f t="shared" si="378"/>
        <v>1.4984391259105099</v>
      </c>
      <c r="AD240" s="178"/>
      <c r="AE240" s="178">
        <f t="shared" si="379"/>
        <v>0.46857142857142853</v>
      </c>
      <c r="AF240" s="560">
        <f>MAX(12000,F240/(0.5*AE240/1000000*Isw_min*Nps))/1000</f>
        <v>957.7632361689474</v>
      </c>
      <c r="AG240" s="543">
        <f t="shared" si="380"/>
        <v>6.723999999999998E-2</v>
      </c>
      <c r="AI240" s="178">
        <f t="shared" si="381"/>
        <v>1.3564659966250538</v>
      </c>
      <c r="AJ240" s="178">
        <f t="shared" si="382"/>
        <v>1.3564659966250538</v>
      </c>
      <c r="AK240" s="178">
        <f t="shared" si="383"/>
        <v>1.597382219722262</v>
      </c>
      <c r="AM240" s="560">
        <f t="shared" si="384"/>
        <v>184.00000000000003</v>
      </c>
      <c r="AN240" s="470">
        <f t="shared" si="385"/>
        <v>350</v>
      </c>
      <c r="AP240">
        <f t="shared" si="386"/>
        <v>184.00000000000003</v>
      </c>
      <c r="AQ240">
        <f t="shared" si="387"/>
        <v>350</v>
      </c>
      <c r="AS240" s="6">
        <f t="shared" si="320"/>
        <v>2.8571428571428572</v>
      </c>
      <c r="AT240" s="6">
        <f t="shared" si="388"/>
        <v>0.22607766610417562</v>
      </c>
      <c r="AU240" s="6">
        <f t="shared" si="393"/>
        <v>2.6310651910386817</v>
      </c>
      <c r="AV240" s="6"/>
      <c r="AW240" s="178">
        <f t="shared" si="394"/>
        <v>7.9127183136461471E-2</v>
      </c>
      <c r="AX240" s="178"/>
      <c r="BA240" s="470">
        <f>L*Isw_max^2/(2*Vout_ripple*Vout)*1000000000*((1+M240)/2)^2</f>
        <v>15.348186929124752</v>
      </c>
      <c r="BB240" s="470">
        <f>L*F240^2/(2*Cout*Vout*Nps^2)*1000000000*((1+M240)/(1-M240))^2+F240*RCoutEsr</f>
        <v>1.0787072498029948</v>
      </c>
      <c r="BC240" s="6">
        <f t="shared" si="392"/>
        <v>0.21570191930988247</v>
      </c>
      <c r="BD240" s="470">
        <f>((BY240/I240/Efficiency)*AU240/Cin+(BY240/I240/Efficiency)*RCinEsr)*1000</f>
        <v>0</v>
      </c>
      <c r="CD240" s="577">
        <f t="shared" si="389"/>
        <v>-50</v>
      </c>
      <c r="CE240">
        <f t="shared" si="390"/>
        <v>-50</v>
      </c>
    </row>
    <row r="241" spans="5:83" x14ac:dyDescent="0.2">
      <c r="E241" s="175">
        <v>24</v>
      </c>
      <c r="F241" s="222">
        <f t="shared" si="391"/>
        <v>0.192</v>
      </c>
      <c r="G241" s="222"/>
      <c r="H241" s="222">
        <f t="shared" si="361"/>
        <v>2.3040000000000003</v>
      </c>
      <c r="I241" s="556">
        <f t="shared" si="362"/>
        <v>42</v>
      </c>
      <c r="J241" s="452">
        <f t="shared" si="363"/>
        <v>12.25</v>
      </c>
      <c r="K241" s="452">
        <f t="shared" si="364"/>
        <v>54.25</v>
      </c>
      <c r="L241" s="452"/>
      <c r="M241" s="222">
        <f t="shared" si="365"/>
        <v>0.22580645161290322</v>
      </c>
      <c r="N241" s="177">
        <f t="shared" si="366"/>
        <v>18.469838709677418</v>
      </c>
      <c r="O241" s="177">
        <f t="shared" si="319"/>
        <v>2.3040000000000003</v>
      </c>
      <c r="P241" s="222">
        <f t="shared" si="367"/>
        <v>1.5391532258064515</v>
      </c>
      <c r="Q241" s="222">
        <f t="shared" si="368"/>
        <v>12</v>
      </c>
      <c r="R241" s="222"/>
      <c r="S241" s="177">
        <f t="shared" si="369"/>
        <v>384.04294790576029</v>
      </c>
      <c r="T241" s="177">
        <f t="shared" si="370"/>
        <v>12</v>
      </c>
      <c r="U241" s="222">
        <f t="shared" si="371"/>
        <v>0.51145005370569285</v>
      </c>
      <c r="V241" s="222">
        <f t="shared" si="372"/>
        <v>8.5241675617615476E-2</v>
      </c>
      <c r="W241" s="222">
        <f t="shared" si="373"/>
        <v>0.29225717354611019</v>
      </c>
      <c r="X241" s="202">
        <f t="shared" si="374"/>
        <v>350</v>
      </c>
      <c r="Y241" s="452">
        <f t="shared" si="375"/>
        <v>350</v>
      </c>
      <c r="AA241" s="222">
        <f t="shared" si="376"/>
        <v>3.8709677419354835</v>
      </c>
      <c r="AB241" s="178">
        <f t="shared" si="377"/>
        <v>2.2119815668202762</v>
      </c>
      <c r="AC241" s="178">
        <f t="shared" si="378"/>
        <v>1.4984391259105099</v>
      </c>
      <c r="AD241" s="178"/>
      <c r="AE241" s="178">
        <f t="shared" si="379"/>
        <v>0.46857142857142853</v>
      </c>
      <c r="AF241" s="560">
        <f>MAX(12000,F241/(0.5*AE241/1000000*Isw_min*Nps))/1000</f>
        <v>999.40511600237983</v>
      </c>
      <c r="AG241" s="543">
        <f t="shared" si="380"/>
        <v>6.723999999999998E-2</v>
      </c>
      <c r="AI241" s="178">
        <f t="shared" si="381"/>
        <v>1.3856406460551018</v>
      </c>
      <c r="AJ241" s="178">
        <f t="shared" si="382"/>
        <v>1.3856406460551018</v>
      </c>
      <c r="AK241" s="178">
        <f t="shared" si="383"/>
        <v>1.6189930711519274</v>
      </c>
      <c r="AM241" s="560">
        <f t="shared" si="384"/>
        <v>192</v>
      </c>
      <c r="AN241" s="470">
        <f t="shared" si="385"/>
        <v>350</v>
      </c>
      <c r="AP241">
        <f t="shared" si="386"/>
        <v>192</v>
      </c>
      <c r="AQ241">
        <f t="shared" si="387"/>
        <v>350</v>
      </c>
      <c r="AS241" s="6">
        <f t="shared" si="320"/>
        <v>2.8571428571428572</v>
      </c>
      <c r="AT241" s="6">
        <f t="shared" si="388"/>
        <v>0.23094010767585027</v>
      </c>
      <c r="AU241" s="6">
        <f t="shared" si="393"/>
        <v>2.6262027494670068</v>
      </c>
      <c r="AV241" s="6"/>
      <c r="AW241" s="178">
        <f t="shared" si="394"/>
        <v>8.0829037686547589E-2</v>
      </c>
      <c r="AX241" s="178"/>
      <c r="BA241" s="470">
        <f>L*Isw_max^2/(2*Vout_ripple*Vout)*1000000000*((1+M241)/2)^2</f>
        <v>15.348186929124752</v>
      </c>
      <c r="BB241" s="470">
        <f>L*F241^2/(2*Cout*Vout*Nps^2)*1000000000*((1+M241)/(1-M241))^2+F241*RCoutEsr</f>
        <v>1.1495035460992911</v>
      </c>
      <c r="BC241" s="6">
        <f t="shared" si="392"/>
        <v>0.22466429535958357</v>
      </c>
      <c r="BD241" s="470">
        <f>((BY241/I241/Efficiency)*AU241/Cin+(BY241/I241/Efficiency)*RCinEsr)*1000</f>
        <v>0</v>
      </c>
      <c r="CD241" s="577">
        <f t="shared" si="389"/>
        <v>-50</v>
      </c>
      <c r="CE241">
        <f t="shared" si="390"/>
        <v>-50</v>
      </c>
    </row>
    <row r="242" spans="5:83" x14ac:dyDescent="0.2">
      <c r="E242" s="175">
        <v>25</v>
      </c>
      <c r="F242" s="222">
        <f t="shared" si="391"/>
        <v>0.2</v>
      </c>
      <c r="G242" s="222"/>
      <c r="H242" s="222">
        <f t="shared" si="361"/>
        <v>2.4000000000000004</v>
      </c>
      <c r="I242" s="556">
        <f t="shared" si="362"/>
        <v>42</v>
      </c>
      <c r="J242" s="452">
        <f t="shared" si="363"/>
        <v>12.25</v>
      </c>
      <c r="K242" s="452">
        <f t="shared" si="364"/>
        <v>54.25</v>
      </c>
      <c r="L242" s="452"/>
      <c r="M242" s="222">
        <f t="shared" si="365"/>
        <v>0.22580645161290322</v>
      </c>
      <c r="N242" s="177">
        <f t="shared" si="366"/>
        <v>18.469838709677418</v>
      </c>
      <c r="O242" s="177">
        <f t="shared" si="319"/>
        <v>2.4000000000000004</v>
      </c>
      <c r="P242" s="222">
        <f t="shared" si="367"/>
        <v>1.5391532258064515</v>
      </c>
      <c r="Q242" s="222">
        <f t="shared" si="368"/>
        <v>12</v>
      </c>
      <c r="R242" s="222"/>
      <c r="S242" s="177">
        <f t="shared" si="369"/>
        <v>367.00359059861842</v>
      </c>
      <c r="T242" s="177">
        <f t="shared" si="370"/>
        <v>12</v>
      </c>
      <c r="U242" s="222">
        <f t="shared" si="371"/>
        <v>0.53276047261009674</v>
      </c>
      <c r="V242" s="222">
        <f t="shared" si="372"/>
        <v>8.8793412101682789E-2</v>
      </c>
      <c r="W242" s="222">
        <f t="shared" si="373"/>
        <v>0.30443455577719813</v>
      </c>
      <c r="X242" s="202">
        <f t="shared" si="374"/>
        <v>350</v>
      </c>
      <c r="Y242" s="452">
        <f t="shared" si="375"/>
        <v>350</v>
      </c>
      <c r="AA242" s="222">
        <f t="shared" si="376"/>
        <v>3.8709677419354835</v>
      </c>
      <c r="AB242" s="178">
        <f t="shared" si="377"/>
        <v>2.2119815668202762</v>
      </c>
      <c r="AC242" s="178">
        <f t="shared" si="378"/>
        <v>1.4984391259105099</v>
      </c>
      <c r="AD242" s="178"/>
      <c r="AE242" s="178">
        <f t="shared" si="379"/>
        <v>0.46857142857142853</v>
      </c>
      <c r="AF242" s="560">
        <f>MAX(12000,F242/(0.5*AE242/1000000*Isw_min*Nps))/1000</f>
        <v>1041.0469958358124</v>
      </c>
      <c r="AG242" s="543">
        <f t="shared" si="380"/>
        <v>6.723999999999998E-2</v>
      </c>
      <c r="AI242" s="178">
        <f t="shared" si="381"/>
        <v>1.4142135623730951</v>
      </c>
      <c r="AJ242" s="178">
        <f t="shared" si="382"/>
        <v>1.4142135623730951</v>
      </c>
      <c r="AK242" s="178">
        <f t="shared" si="383"/>
        <v>1.6401581943504409</v>
      </c>
      <c r="AM242" s="560">
        <f t="shared" si="384"/>
        <v>200</v>
      </c>
      <c r="AN242" s="470">
        <f t="shared" si="385"/>
        <v>350</v>
      </c>
      <c r="AP242">
        <f t="shared" si="386"/>
        <v>200</v>
      </c>
      <c r="AQ242">
        <f t="shared" si="387"/>
        <v>350</v>
      </c>
      <c r="AS242" s="6">
        <f t="shared" si="320"/>
        <v>2.8571428571428572</v>
      </c>
      <c r="AT242" s="6">
        <f t="shared" si="388"/>
        <v>0.23570226039551587</v>
      </c>
      <c r="AU242" s="6">
        <f t="shared" si="393"/>
        <v>2.6214405967473415</v>
      </c>
      <c r="AV242" s="6"/>
      <c r="AW242" s="178">
        <f t="shared" si="394"/>
        <v>8.2495791138430558E-2</v>
      </c>
      <c r="AX242" s="178"/>
      <c r="BA242" s="470">
        <f>L*Isw_max^2/(2*Vout_ripple*Vout)*1000000000*((1+M242)/2)^2</f>
        <v>15.348186929124752</v>
      </c>
      <c r="BB242" s="470">
        <f>L*F242^2/(2*Cout*Vout*Nps^2)*1000000000*((1+M242)/(1-M242))^2+F242*RCoutEsr</f>
        <v>1.2222911741528768</v>
      </c>
      <c r="BC242" s="6">
        <f t="shared" si="392"/>
        <v>0.2336009442938316</v>
      </c>
      <c r="BD242" s="470">
        <f>((BY242/I242/Efficiency)*AU242/Cin+(BY242/I242/Efficiency)*RCinEsr)*1000</f>
        <v>0</v>
      </c>
      <c r="CD242" s="577">
        <f t="shared" si="389"/>
        <v>-50</v>
      </c>
      <c r="CE242">
        <f t="shared" si="390"/>
        <v>-50</v>
      </c>
    </row>
    <row r="243" spans="5:83" x14ac:dyDescent="0.2">
      <c r="E243" s="175">
        <v>26</v>
      </c>
      <c r="F243" s="222">
        <f t="shared" si="391"/>
        <v>0.20800000000000002</v>
      </c>
      <c r="G243" s="222"/>
      <c r="H243" s="222">
        <f t="shared" si="361"/>
        <v>2.4960000000000004</v>
      </c>
      <c r="I243" s="556">
        <f t="shared" si="362"/>
        <v>42</v>
      </c>
      <c r="J243" s="452">
        <f t="shared" si="363"/>
        <v>12.25</v>
      </c>
      <c r="K243" s="452">
        <f t="shared" si="364"/>
        <v>54.25</v>
      </c>
      <c r="L243" s="452"/>
      <c r="M243" s="222">
        <f t="shared" si="365"/>
        <v>0.22580645161290322</v>
      </c>
      <c r="N243" s="177">
        <f t="shared" si="366"/>
        <v>18.469838709677418</v>
      </c>
      <c r="O243" s="177">
        <f t="shared" si="319"/>
        <v>2.4960000000000004</v>
      </c>
      <c r="P243" s="222">
        <f t="shared" si="367"/>
        <v>1.5391532258064515</v>
      </c>
      <c r="Q243" s="222">
        <f t="shared" si="368"/>
        <v>12</v>
      </c>
      <c r="R243" s="222"/>
      <c r="S243" s="177">
        <f t="shared" si="369"/>
        <v>351.27506215519503</v>
      </c>
      <c r="T243" s="177">
        <f t="shared" si="370"/>
        <v>12</v>
      </c>
      <c r="U243" s="222">
        <f t="shared" si="371"/>
        <v>0.55407089151450062</v>
      </c>
      <c r="V243" s="222">
        <f t="shared" si="372"/>
        <v>9.2345148585750103E-2</v>
      </c>
      <c r="W243" s="222">
        <f t="shared" si="373"/>
        <v>0.31661193800828608</v>
      </c>
      <c r="X243" s="202">
        <f t="shared" si="374"/>
        <v>350</v>
      </c>
      <c r="Y243" s="452">
        <f t="shared" si="375"/>
        <v>350</v>
      </c>
      <c r="AA243" s="222">
        <f t="shared" si="376"/>
        <v>3.8709677419354835</v>
      </c>
      <c r="AB243" s="178">
        <f t="shared" si="377"/>
        <v>2.2119815668202762</v>
      </c>
      <c r="AC243" s="178">
        <f t="shared" si="378"/>
        <v>1.4984391259105099</v>
      </c>
      <c r="AD243" s="178"/>
      <c r="AE243" s="178">
        <f t="shared" si="379"/>
        <v>0.46857142857142853</v>
      </c>
      <c r="AF243" s="560">
        <f>MAX(12000,F243/(0.5*AE243/1000000*Isw_min*Nps))/1000</f>
        <v>1082.6888756692449</v>
      </c>
      <c r="AG243" s="543">
        <f t="shared" si="380"/>
        <v>6.723999999999998E-2</v>
      </c>
      <c r="AI243" s="178">
        <f t="shared" si="381"/>
        <v>1.4422205101855958</v>
      </c>
      <c r="AJ243" s="178">
        <f t="shared" si="382"/>
        <v>1.4422205101855958</v>
      </c>
      <c r="AK243" s="178">
        <f t="shared" si="383"/>
        <v>1.66090408161896</v>
      </c>
      <c r="AM243" s="560">
        <f t="shared" si="384"/>
        <v>208.00000000000003</v>
      </c>
      <c r="AN243" s="470">
        <f t="shared" si="385"/>
        <v>350</v>
      </c>
      <c r="AP243">
        <f t="shared" si="386"/>
        <v>208.00000000000003</v>
      </c>
      <c r="AQ243">
        <f t="shared" si="387"/>
        <v>350</v>
      </c>
      <c r="AS243" s="6">
        <f t="shared" si="320"/>
        <v>2.8571428571428572</v>
      </c>
      <c r="AT243" s="6">
        <f t="shared" si="388"/>
        <v>0.2403700850309326</v>
      </c>
      <c r="AU243" s="6">
        <f t="shared" si="393"/>
        <v>2.6167727721119247</v>
      </c>
      <c r="AV243" s="6"/>
      <c r="AW243" s="178">
        <f t="shared" si="394"/>
        <v>8.412952976082641E-2</v>
      </c>
      <c r="AX243" s="178"/>
      <c r="BA243" s="470">
        <f>L*Isw_max^2/(2*Vout_ripple*Vout)*1000000000*((1+M243)/2)^2</f>
        <v>15.348186929124752</v>
      </c>
      <c r="BB243" s="470">
        <f>L*F243^2/(2*Cout*Vout*Nps^2)*1000000000*((1+M243)/(1-M243))^2+F243*RCoutEsr</f>
        <v>1.2970701339637514</v>
      </c>
      <c r="BC243" s="6">
        <f t="shared" si="392"/>
        <v>0.24251238612053705</v>
      </c>
      <c r="BD243" s="470">
        <f>((BY243/I243/Efficiency)*AU243/Cin+(BY243/I243/Efficiency)*RCinEsr)*1000</f>
        <v>0</v>
      </c>
      <c r="CD243" s="577">
        <f t="shared" si="389"/>
        <v>-50</v>
      </c>
      <c r="CE243">
        <f t="shared" si="390"/>
        <v>-50</v>
      </c>
    </row>
    <row r="244" spans="5:83" x14ac:dyDescent="0.2">
      <c r="E244" s="175">
        <v>27</v>
      </c>
      <c r="F244" s="222">
        <f t="shared" si="391"/>
        <v>0.21600000000000003</v>
      </c>
      <c r="G244" s="222"/>
      <c r="H244" s="222">
        <f t="shared" si="361"/>
        <v>2.5920000000000005</v>
      </c>
      <c r="I244" s="556">
        <f t="shared" si="362"/>
        <v>42</v>
      </c>
      <c r="J244" s="452">
        <f t="shared" si="363"/>
        <v>12.25</v>
      </c>
      <c r="K244" s="452">
        <f t="shared" si="364"/>
        <v>54.25</v>
      </c>
      <c r="L244" s="452"/>
      <c r="M244" s="222">
        <f t="shared" si="365"/>
        <v>0.22580645161290322</v>
      </c>
      <c r="N244" s="177">
        <f t="shared" si="366"/>
        <v>18.469838709677418</v>
      </c>
      <c r="O244" s="177">
        <f t="shared" si="319"/>
        <v>2.5920000000000005</v>
      </c>
      <c r="P244" s="222">
        <f t="shared" si="367"/>
        <v>1.5391532258064515</v>
      </c>
      <c r="Q244" s="222">
        <f t="shared" si="368"/>
        <v>12</v>
      </c>
      <c r="R244" s="222"/>
      <c r="S244" s="177">
        <f t="shared" si="369"/>
        <v>336.71171636549332</v>
      </c>
      <c r="T244" s="177">
        <f t="shared" si="370"/>
        <v>12</v>
      </c>
      <c r="U244" s="222">
        <f t="shared" si="371"/>
        <v>0.5753813104189045</v>
      </c>
      <c r="V244" s="222">
        <f t="shared" si="372"/>
        <v>9.5896885069817431E-2</v>
      </c>
      <c r="W244" s="222">
        <f t="shared" si="373"/>
        <v>0.32878932023937396</v>
      </c>
      <c r="X244" s="202">
        <f t="shared" si="374"/>
        <v>350</v>
      </c>
      <c r="Y244" s="452">
        <f t="shared" si="375"/>
        <v>350</v>
      </c>
      <c r="AA244" s="222">
        <f t="shared" si="376"/>
        <v>3.8709677419354835</v>
      </c>
      <c r="AB244" s="178">
        <f t="shared" si="377"/>
        <v>2.2119815668202762</v>
      </c>
      <c r="AC244" s="178">
        <f t="shared" si="378"/>
        <v>1.4984391259105099</v>
      </c>
      <c r="AD244" s="178"/>
      <c r="AE244" s="178">
        <f t="shared" si="379"/>
        <v>0.46857142857142853</v>
      </c>
      <c r="AF244" s="560">
        <f>MAX(12000,F244/(0.5*AE244/1000000*Isw_min*Nps))/1000</f>
        <v>1124.3307555026772</v>
      </c>
      <c r="AG244" s="543">
        <f t="shared" si="380"/>
        <v>6.723999999999998E-2</v>
      </c>
      <c r="AI244" s="178">
        <f t="shared" si="381"/>
        <v>1.4696938456699071</v>
      </c>
      <c r="AJ244" s="178">
        <f t="shared" si="382"/>
        <v>1.4696938456699071</v>
      </c>
      <c r="AK244" s="178">
        <f t="shared" si="383"/>
        <v>1.6812547004962275</v>
      </c>
      <c r="AM244" s="560">
        <f t="shared" si="384"/>
        <v>216.00000000000003</v>
      </c>
      <c r="AN244" s="470">
        <f t="shared" si="385"/>
        <v>350</v>
      </c>
      <c r="AP244">
        <f t="shared" si="386"/>
        <v>216.00000000000003</v>
      </c>
      <c r="AQ244">
        <f t="shared" si="387"/>
        <v>350</v>
      </c>
      <c r="AS244" s="6">
        <f t="shared" si="320"/>
        <v>2.8571428571428572</v>
      </c>
      <c r="AT244" s="6">
        <f t="shared" si="388"/>
        <v>0.24494897427831783</v>
      </c>
      <c r="AU244" s="6">
        <f t="shared" si="393"/>
        <v>2.6121938828645392</v>
      </c>
      <c r="AV244" s="6"/>
      <c r="AW244" s="178">
        <f t="shared" si="394"/>
        <v>8.5732140997411235E-2</v>
      </c>
      <c r="AX244" s="178"/>
      <c r="BA244" s="470">
        <f>L*Isw_max^2/(2*Vout_ripple*Vout)*1000000000*((1+M244)/2)^2</f>
        <v>15.348186929124752</v>
      </c>
      <c r="BB244" s="470">
        <f>L*F244^2/(2*Cout*Vout*Nps^2)*1000000000*((1+M244)/(1-M244))^2+F244*RCoutEsr</f>
        <v>1.3738404255319154</v>
      </c>
      <c r="BC244" s="6">
        <f t="shared" si="392"/>
        <v>0.25139911053132413</v>
      </c>
      <c r="BD244" s="470">
        <f>((BY244/I244/Efficiency)*AU244/Cin+(BY244/I244/Efficiency)*RCinEsr)*1000</f>
        <v>0</v>
      </c>
      <c r="CD244" s="577">
        <f t="shared" si="389"/>
        <v>-50</v>
      </c>
      <c r="CE244">
        <f t="shared" si="390"/>
        <v>-50</v>
      </c>
    </row>
    <row r="245" spans="5:83" x14ac:dyDescent="0.2">
      <c r="E245" s="175">
        <v>28</v>
      </c>
      <c r="F245" s="222">
        <f t="shared" si="391"/>
        <v>0.22400000000000003</v>
      </c>
      <c r="G245" s="222"/>
      <c r="H245" s="222">
        <f t="shared" si="361"/>
        <v>2.6880000000000006</v>
      </c>
      <c r="I245" s="556">
        <f t="shared" si="362"/>
        <v>42</v>
      </c>
      <c r="J245" s="452">
        <f t="shared" si="363"/>
        <v>12.25</v>
      </c>
      <c r="K245" s="452">
        <f t="shared" si="364"/>
        <v>54.25</v>
      </c>
      <c r="L245" s="452"/>
      <c r="M245" s="222">
        <f t="shared" si="365"/>
        <v>0.22580645161290322</v>
      </c>
      <c r="N245" s="177">
        <f t="shared" si="366"/>
        <v>18.469838709677418</v>
      </c>
      <c r="O245" s="177">
        <f t="shared" si="319"/>
        <v>2.6880000000000006</v>
      </c>
      <c r="P245" s="222">
        <f t="shared" si="367"/>
        <v>1.5391532258064515</v>
      </c>
      <c r="Q245" s="222">
        <f t="shared" si="368"/>
        <v>12</v>
      </c>
      <c r="R245" s="222"/>
      <c r="S245" s="177">
        <f t="shared" si="369"/>
        <v>323.18871364630127</v>
      </c>
      <c r="T245" s="177">
        <f t="shared" si="370"/>
        <v>12</v>
      </c>
      <c r="U245" s="222">
        <f t="shared" si="371"/>
        <v>0.59669172932330838</v>
      </c>
      <c r="V245" s="222">
        <f t="shared" si="372"/>
        <v>9.9448621553884745E-2</v>
      </c>
      <c r="W245" s="222">
        <f t="shared" si="373"/>
        <v>0.34096670247046196</v>
      </c>
      <c r="X245" s="202">
        <f t="shared" si="374"/>
        <v>350</v>
      </c>
      <c r="Y245" s="452">
        <f t="shared" si="375"/>
        <v>350</v>
      </c>
      <c r="AA245" s="222">
        <f t="shared" si="376"/>
        <v>3.8709677419354835</v>
      </c>
      <c r="AB245" s="178">
        <f t="shared" si="377"/>
        <v>2.2119815668202762</v>
      </c>
      <c r="AC245" s="178">
        <f t="shared" si="378"/>
        <v>1.4984391259105099</v>
      </c>
      <c r="AD245" s="178"/>
      <c r="AE245" s="178">
        <f t="shared" si="379"/>
        <v>0.46857142857142853</v>
      </c>
      <c r="AF245" s="560">
        <f>MAX(12000,F245/(0.5*AE245/1000000*Isw_min*Nps))/1000</f>
        <v>1165.97263533611</v>
      </c>
      <c r="AG245" s="543">
        <f t="shared" si="380"/>
        <v>6.723999999999998E-2</v>
      </c>
      <c r="AI245" s="178">
        <f t="shared" si="381"/>
        <v>1.4966629547095767</v>
      </c>
      <c r="AJ245" s="178">
        <f t="shared" si="382"/>
        <v>1.4966629547095767</v>
      </c>
      <c r="AK245" s="178">
        <f t="shared" si="383"/>
        <v>1.7012318183033901</v>
      </c>
      <c r="AM245" s="560">
        <f t="shared" si="384"/>
        <v>224.00000000000003</v>
      </c>
      <c r="AN245" s="470">
        <f t="shared" si="385"/>
        <v>350</v>
      </c>
      <c r="AP245">
        <f t="shared" si="386"/>
        <v>224.00000000000003</v>
      </c>
      <c r="AQ245">
        <f t="shared" si="387"/>
        <v>350</v>
      </c>
      <c r="AS245" s="6">
        <f t="shared" si="320"/>
        <v>2.8571428571428572</v>
      </c>
      <c r="AT245" s="6">
        <f t="shared" si="388"/>
        <v>0.24944382578492943</v>
      </c>
      <c r="AU245" s="6">
        <f t="shared" si="393"/>
        <v>2.6076990313579276</v>
      </c>
      <c r="AV245" s="6"/>
      <c r="AW245" s="178">
        <f t="shared" si="394"/>
        <v>8.7305339024725301E-2</v>
      </c>
      <c r="AX245" s="178"/>
      <c r="BA245" s="470">
        <f>L*Isw_max^2/(2*Vout_ripple*Vout)*1000000000*((1+M245)/2)^2</f>
        <v>15.348186929124752</v>
      </c>
      <c r="BB245" s="470">
        <f>L*F245^2/(2*Cout*Vout*Nps^2)*1000000000*((1+M245)/(1-M245))^2+F245*RCoutEsr</f>
        <v>1.4526020488573685</v>
      </c>
      <c r="BC245" s="6">
        <f t="shared" si="392"/>
        <v>0.26026157973786729</v>
      </c>
      <c r="BD245" s="470">
        <f>((BY245/I245/Efficiency)*AU245/Cin+(BY245/I245/Efficiency)*RCinEsr)*1000</f>
        <v>0</v>
      </c>
      <c r="CD245" s="577">
        <f t="shared" si="389"/>
        <v>-50</v>
      </c>
      <c r="CE245">
        <f t="shared" si="390"/>
        <v>-50</v>
      </c>
    </row>
    <row r="246" spans="5:83" x14ac:dyDescent="0.2">
      <c r="E246" s="175">
        <v>29</v>
      </c>
      <c r="F246" s="222">
        <f t="shared" si="391"/>
        <v>0.23199999999999998</v>
      </c>
      <c r="G246" s="222"/>
      <c r="H246" s="222">
        <f t="shared" si="361"/>
        <v>2.7839999999999998</v>
      </c>
      <c r="I246" s="556">
        <f t="shared" si="362"/>
        <v>42</v>
      </c>
      <c r="J246" s="452">
        <f t="shared" si="363"/>
        <v>12.25</v>
      </c>
      <c r="K246" s="452">
        <f t="shared" si="364"/>
        <v>54.25</v>
      </c>
      <c r="L246" s="452"/>
      <c r="M246" s="222">
        <f t="shared" si="365"/>
        <v>0.22580645161290322</v>
      </c>
      <c r="N246" s="177">
        <f t="shared" si="366"/>
        <v>18.469838709677418</v>
      </c>
      <c r="O246" s="177">
        <f t="shared" si="319"/>
        <v>2.7839999999999998</v>
      </c>
      <c r="P246" s="222">
        <f t="shared" si="367"/>
        <v>1.5391532258064515</v>
      </c>
      <c r="Q246" s="222">
        <f t="shared" si="368"/>
        <v>12</v>
      </c>
      <c r="R246" s="222"/>
      <c r="S246" s="177">
        <f t="shared" si="369"/>
        <v>310.59843369230299</v>
      </c>
      <c r="T246" s="177">
        <f t="shared" si="370"/>
        <v>12</v>
      </c>
      <c r="U246" s="222">
        <f t="shared" si="371"/>
        <v>0.61800214822771204</v>
      </c>
      <c r="V246" s="222">
        <f t="shared" si="372"/>
        <v>0.10300035803795202</v>
      </c>
      <c r="W246" s="222">
        <f t="shared" si="373"/>
        <v>0.35314408470154973</v>
      </c>
      <c r="X246" s="202">
        <f t="shared" si="374"/>
        <v>350</v>
      </c>
      <c r="Y246" s="452">
        <f t="shared" si="375"/>
        <v>350</v>
      </c>
      <c r="AA246" s="222">
        <f t="shared" si="376"/>
        <v>3.8709677419354835</v>
      </c>
      <c r="AB246" s="178">
        <f t="shared" si="377"/>
        <v>2.2119815668202762</v>
      </c>
      <c r="AC246" s="178">
        <f t="shared" si="378"/>
        <v>1.4984391259105099</v>
      </c>
      <c r="AD246" s="178"/>
      <c r="AE246" s="178">
        <f t="shared" si="379"/>
        <v>0.46857142857142853</v>
      </c>
      <c r="AF246" s="560">
        <f>MAX(12000,F246/(0.5*AE246/1000000*Isw_min*Nps))/1000</f>
        <v>1207.6145151695421</v>
      </c>
      <c r="AG246" s="543">
        <f t="shared" si="380"/>
        <v>6.723999999999998E-2</v>
      </c>
      <c r="AI246" s="178">
        <f t="shared" si="381"/>
        <v>1.5231546211727816</v>
      </c>
      <c r="AJ246" s="178">
        <f t="shared" si="382"/>
        <v>1.5231546211727816</v>
      </c>
      <c r="AK246" s="178">
        <f t="shared" si="383"/>
        <v>1.7208552749428012</v>
      </c>
      <c r="AM246" s="560">
        <f t="shared" si="384"/>
        <v>231.99999999999997</v>
      </c>
      <c r="AN246" s="470">
        <f t="shared" si="385"/>
        <v>350</v>
      </c>
      <c r="AP246">
        <f t="shared" si="386"/>
        <v>231.99999999999997</v>
      </c>
      <c r="AQ246">
        <f t="shared" si="387"/>
        <v>350</v>
      </c>
      <c r="AS246" s="6">
        <f t="shared" si="320"/>
        <v>2.8571428571428572</v>
      </c>
      <c r="AT246" s="6">
        <f t="shared" si="388"/>
        <v>0.25385910352879693</v>
      </c>
      <c r="AU246" s="6">
        <f t="shared" si="393"/>
        <v>2.6032837536140603</v>
      </c>
      <c r="AV246" s="6"/>
      <c r="AW246" s="178">
        <f t="shared" si="394"/>
        <v>8.8850686235078927E-2</v>
      </c>
      <c r="AX246" s="178"/>
      <c r="BA246" s="470">
        <f>L*Isw_max^2/(2*Vout_ripple*Vout)*1000000000*((1+M246)/2)^2</f>
        <v>15.348186929124752</v>
      </c>
      <c r="BB246" s="470">
        <f>L*F246^2/(2*Cout*Vout*Nps^2)*1000000000*((1+M246)/(1-M246))^2+F246*RCoutEsr</f>
        <v>1.5333550039401103</v>
      </c>
      <c r="BC246" s="6">
        <f t="shared" si="392"/>
        <v>0.26910023095002478</v>
      </c>
      <c r="BD246" s="470">
        <f>((BY246/I246/Efficiency)*AU246/Cin+(BY246/I246/Efficiency)*RCinEsr)*1000</f>
        <v>0</v>
      </c>
      <c r="CD246" s="577">
        <f t="shared" si="389"/>
        <v>-50</v>
      </c>
      <c r="CE246">
        <f t="shared" si="390"/>
        <v>-50</v>
      </c>
    </row>
    <row r="247" spans="5:83" x14ac:dyDescent="0.2">
      <c r="E247" s="175">
        <v>30</v>
      </c>
      <c r="F247" s="222">
        <f t="shared" si="391"/>
        <v>0.24</v>
      </c>
      <c r="G247" s="222"/>
      <c r="H247" s="222">
        <f t="shared" si="361"/>
        <v>2.88</v>
      </c>
      <c r="I247" s="556">
        <f t="shared" si="362"/>
        <v>42</v>
      </c>
      <c r="J247" s="452">
        <f t="shared" si="363"/>
        <v>12.25</v>
      </c>
      <c r="K247" s="452">
        <f t="shared" si="364"/>
        <v>54.25</v>
      </c>
      <c r="L247" s="452"/>
      <c r="M247" s="222">
        <f t="shared" si="365"/>
        <v>0.22580645161290322</v>
      </c>
      <c r="N247" s="177">
        <f t="shared" si="366"/>
        <v>18.469838709677418</v>
      </c>
      <c r="O247" s="177">
        <f t="shared" si="319"/>
        <v>2.88</v>
      </c>
      <c r="P247" s="222">
        <f t="shared" si="367"/>
        <v>1.5391532258064515</v>
      </c>
      <c r="Q247" s="222">
        <f t="shared" si="368"/>
        <v>12</v>
      </c>
      <c r="R247" s="222"/>
      <c r="S247" s="177">
        <f t="shared" si="369"/>
        <v>298.84760559698071</v>
      </c>
      <c r="T247" s="177">
        <f t="shared" si="370"/>
        <v>12</v>
      </c>
      <c r="U247" s="222">
        <f t="shared" si="371"/>
        <v>0.63931256713211593</v>
      </c>
      <c r="V247" s="222">
        <f t="shared" si="372"/>
        <v>0.10655209452201932</v>
      </c>
      <c r="W247" s="222">
        <f t="shared" si="373"/>
        <v>0.36532146693263767</v>
      </c>
      <c r="X247" s="202">
        <f t="shared" si="374"/>
        <v>350</v>
      </c>
      <c r="Y247" s="452">
        <f t="shared" si="375"/>
        <v>350</v>
      </c>
      <c r="AA247" s="222">
        <f t="shared" si="376"/>
        <v>3.8709677419354835</v>
      </c>
      <c r="AB247" s="178">
        <f t="shared" si="377"/>
        <v>2.2119815668202762</v>
      </c>
      <c r="AC247" s="178">
        <f t="shared" si="378"/>
        <v>1.4984391259105099</v>
      </c>
      <c r="AD247" s="178"/>
      <c r="AE247" s="178">
        <f t="shared" si="379"/>
        <v>0.46857142857142853</v>
      </c>
      <c r="AF247" s="560">
        <f>MAX(12000,F247/(0.5*AE247/1000000*Isw_min*Nps))/1000</f>
        <v>1249.2563950029746</v>
      </c>
      <c r="AG247" s="543">
        <f t="shared" si="380"/>
        <v>6.723999999999998E-2</v>
      </c>
      <c r="AI247" s="178">
        <f t="shared" si="381"/>
        <v>1.5491933384829668</v>
      </c>
      <c r="AJ247" s="178">
        <f t="shared" si="382"/>
        <v>1.5491933384829668</v>
      </c>
      <c r="AK247" s="178">
        <f t="shared" si="383"/>
        <v>1.7401432136910864</v>
      </c>
      <c r="AM247" s="560">
        <f t="shared" si="384"/>
        <v>240</v>
      </c>
      <c r="AN247" s="470">
        <f t="shared" si="385"/>
        <v>350</v>
      </c>
      <c r="AP247">
        <f t="shared" si="386"/>
        <v>240</v>
      </c>
      <c r="AQ247">
        <f t="shared" si="387"/>
        <v>350</v>
      </c>
      <c r="AS247" s="6">
        <f t="shared" si="320"/>
        <v>2.8571428571428572</v>
      </c>
      <c r="AT247" s="6">
        <f t="shared" si="388"/>
        <v>0.2581988897471611</v>
      </c>
      <c r="AU247" s="6">
        <f t="shared" si="393"/>
        <v>2.5989439673956962</v>
      </c>
      <c r="AV247" s="6"/>
      <c r="AW247" s="178">
        <f t="shared" si="394"/>
        <v>9.0369611411506387E-2</v>
      </c>
      <c r="AX247" s="178"/>
      <c r="BA247" s="470">
        <f>L*Isw_max^2/(2*Vout_ripple*Vout)*1000000000*((1+M247)/2)^2</f>
        <v>15.348186929124752</v>
      </c>
      <c r="BB247" s="470">
        <f>L*F247^2/(2*Cout*Vout*Nps^2)*1000000000*((1+M247)/(1-M247))^2+F247*RCoutEsr</f>
        <v>1.6160992907801419</v>
      </c>
      <c r="BC247" s="6">
        <f t="shared" si="392"/>
        <v>0.27791547855192072</v>
      </c>
      <c r="BD247" s="470">
        <f>((BY247/I247/Efficiency)*AU247/Cin+(BY247/I247/Efficiency)*RCinEsr)*1000</f>
        <v>0</v>
      </c>
      <c r="CD247" s="577">
        <f t="shared" si="389"/>
        <v>-50</v>
      </c>
      <c r="CE247">
        <f t="shared" si="390"/>
        <v>-50</v>
      </c>
    </row>
    <row r="248" spans="5:83" x14ac:dyDescent="0.2">
      <c r="E248" s="175">
        <v>31</v>
      </c>
      <c r="F248" s="222">
        <f t="shared" si="391"/>
        <v>0.248</v>
      </c>
      <c r="G248" s="222"/>
      <c r="H248" s="222">
        <f t="shared" si="361"/>
        <v>2.976</v>
      </c>
      <c r="I248" s="556">
        <f t="shared" si="362"/>
        <v>42</v>
      </c>
      <c r="J248" s="452">
        <f t="shared" si="363"/>
        <v>12.25</v>
      </c>
      <c r="K248" s="452">
        <f t="shared" si="364"/>
        <v>54.25</v>
      </c>
      <c r="L248" s="452"/>
      <c r="M248" s="222">
        <f t="shared" si="365"/>
        <v>0.22580645161290322</v>
      </c>
      <c r="N248" s="177">
        <f t="shared" si="366"/>
        <v>18.469838709677418</v>
      </c>
      <c r="O248" s="177">
        <f t="shared" si="319"/>
        <v>2.976</v>
      </c>
      <c r="P248" s="222">
        <f t="shared" si="367"/>
        <v>1.5391532258064515</v>
      </c>
      <c r="Q248" s="222">
        <f t="shared" si="368"/>
        <v>12</v>
      </c>
      <c r="R248" s="222"/>
      <c r="S248" s="177">
        <f t="shared" si="369"/>
        <v>287.85499343400426</v>
      </c>
      <c r="T248" s="177">
        <f t="shared" si="370"/>
        <v>12</v>
      </c>
      <c r="U248" s="222">
        <f t="shared" si="371"/>
        <v>0.66062298603651981</v>
      </c>
      <c r="V248" s="222">
        <f t="shared" si="372"/>
        <v>0.11010383100608663</v>
      </c>
      <c r="W248" s="222">
        <f t="shared" si="373"/>
        <v>0.37749884916372561</v>
      </c>
      <c r="X248" s="202">
        <f t="shared" si="374"/>
        <v>350</v>
      </c>
      <c r="Y248" s="452">
        <f t="shared" si="375"/>
        <v>350</v>
      </c>
      <c r="AA248" s="222">
        <f t="shared" si="376"/>
        <v>3.8709677419354835</v>
      </c>
      <c r="AB248" s="178">
        <f t="shared" si="377"/>
        <v>2.2119815668202762</v>
      </c>
      <c r="AC248" s="178">
        <f t="shared" si="378"/>
        <v>1.4984391259105099</v>
      </c>
      <c r="AD248" s="178"/>
      <c r="AE248" s="178">
        <f t="shared" si="379"/>
        <v>0.46857142857142853</v>
      </c>
      <c r="AF248" s="560">
        <f>MAX(12000,F248/(0.5*AE248/1000000*Isw_min*Nps))/1000</f>
        <v>1290.8982748364072</v>
      </c>
      <c r="AG248" s="543">
        <f t="shared" si="380"/>
        <v>6.723999999999998E-2</v>
      </c>
      <c r="AI248" s="178">
        <f t="shared" si="381"/>
        <v>1.5748015748023623</v>
      </c>
      <c r="AJ248" s="178">
        <f t="shared" si="382"/>
        <v>1.5748015748023623</v>
      </c>
      <c r="AK248" s="178">
        <f t="shared" si="383"/>
        <v>1.7591122776313795</v>
      </c>
      <c r="AM248" s="560">
        <f t="shared" si="384"/>
        <v>248</v>
      </c>
      <c r="AN248" s="470">
        <f t="shared" si="385"/>
        <v>350</v>
      </c>
      <c r="AP248">
        <f t="shared" si="386"/>
        <v>248</v>
      </c>
      <c r="AQ248">
        <f t="shared" si="387"/>
        <v>350</v>
      </c>
      <c r="AS248" s="6">
        <f t="shared" si="320"/>
        <v>2.8571428571428572</v>
      </c>
      <c r="AT248" s="6">
        <f t="shared" si="388"/>
        <v>0.26246692913372704</v>
      </c>
      <c r="AU248" s="6">
        <f t="shared" si="393"/>
        <v>2.5946759280091301</v>
      </c>
      <c r="AV248" s="6"/>
      <c r="AW248" s="178">
        <f t="shared" si="394"/>
        <v>9.186342519680446E-2</v>
      </c>
      <c r="AX248" s="178"/>
      <c r="BA248" s="470">
        <f>L*Isw_max^2/(2*Vout_ripple*Vout)*1000000000*((1+M248)/2)^2</f>
        <v>15.348186929124752</v>
      </c>
      <c r="BB248" s="470">
        <f>L*F248^2/(2*Cout*Vout*Nps^2)*1000000000*((1+M248)/(1-M248))^2+F248*RCoutEsr</f>
        <v>1.7008349093774626</v>
      </c>
      <c r="BC248" s="6">
        <f t="shared" si="392"/>
        <v>0.28670771602172734</v>
      </c>
      <c r="BD248" s="470">
        <f>((BY248/I248/Efficiency)*AU248/Cin+(BY248/I248/Efficiency)*RCinEsr)*1000</f>
        <v>0</v>
      </c>
      <c r="CD248" s="577">
        <f t="shared" si="389"/>
        <v>-50</v>
      </c>
      <c r="CE248">
        <f t="shared" si="390"/>
        <v>-50</v>
      </c>
    </row>
    <row r="249" spans="5:83" x14ac:dyDescent="0.2">
      <c r="E249" s="175">
        <v>32</v>
      </c>
      <c r="F249" s="222">
        <f t="shared" si="391"/>
        <v>0.25600000000000001</v>
      </c>
      <c r="G249" s="222"/>
      <c r="H249" s="222">
        <f t="shared" ref="H249:H280" si="395">F249*Vout</f>
        <v>3.0720000000000001</v>
      </c>
      <c r="I249" s="556">
        <f t="shared" ref="I249:I280" si="396">VIN_max</f>
        <v>42</v>
      </c>
      <c r="J249" s="452">
        <f t="shared" ref="J249:J280" si="397">(T249+Vfwd1)*Nps</f>
        <v>12.25</v>
      </c>
      <c r="K249" s="452">
        <f t="shared" ref="K249:K280" si="398">(Vout+Vfwd1)*Nps+I249</f>
        <v>54.25</v>
      </c>
      <c r="L249" s="452"/>
      <c r="M249" s="222">
        <f t="shared" ref="M249:M280" si="399">(Vout+Vfwd1)*Nps/((Vout+Vfwd1)*Nps+I249)</f>
        <v>0.22580645161290322</v>
      </c>
      <c r="N249" s="177">
        <f t="shared" ref="N249:N280" si="400">M249*I249*Isw_max*0.5*Efficiency</f>
        <v>18.469838709677418</v>
      </c>
      <c r="O249" s="177">
        <f t="shared" si="319"/>
        <v>3.0720000000000001</v>
      </c>
      <c r="P249" s="222">
        <f t="shared" ref="P249:P280" si="401">N249/Vout</f>
        <v>1.5391532258064515</v>
      </c>
      <c r="Q249" s="222">
        <f t="shared" ref="Q249:Q280" si="402">MIN(Vout,N249/F249)</f>
        <v>12</v>
      </c>
      <c r="R249" s="222"/>
      <c r="S249" s="177">
        <f t="shared" ref="S249:S280" si="403">(SQRT(Isw_max^2*Nps^2*I249^2+4*Isw_max*F249/Efficiency*(Nps^2*Vfwd1*I249-Nps*I249^2)+4*(F249/Efficiency)^2*Nps^2*Vfwd1^2+8*(F249/Efficiency)^2*Nps*Vfwd1*I249+4*(F249/Efficiency)^2*I249^2)-2*F249/Efficiency*I249-2*F249/Efficiency*Nps*Vfwd1+Isw_max*Nps*I249)/(4*F249/Efficiency*Nps)</f>
        <v>277.54951579212246</v>
      </c>
      <c r="T249" s="177">
        <f t="shared" ref="T249:T280" si="404">MIN(Vout, S249)</f>
        <v>12</v>
      </c>
      <c r="U249" s="222">
        <f t="shared" ref="U249:U280" si="405">MIN(2*Vout*F249/(Efficiency*I249*M249), Isw_max)</f>
        <v>0.68193340494092369</v>
      </c>
      <c r="V249" s="222">
        <f t="shared" ref="V249:V280" si="406">L*U249/I249*1000000</f>
        <v>0.11365556749015394</v>
      </c>
      <c r="W249" s="222">
        <f t="shared" ref="W249:W280" si="407">L*U249/J249*1000000</f>
        <v>0.38967623139481355</v>
      </c>
      <c r="X249" s="202">
        <f t="shared" ref="X249:X280" si="408">IF(1/((350000*L)*(1/I249+1/J249))&gt;Isw_min, 350, 0.001/((Isw_min*L)*(1/I249+1/J249)))</f>
        <v>350</v>
      </c>
      <c r="Y249" s="452">
        <f t="shared" si="375"/>
        <v>350</v>
      </c>
      <c r="AA249" s="222">
        <f t="shared" ref="AA249:AA280" si="409">1/((X249*1000*L)*(1/I249+1/J249))</f>
        <v>3.8709677419354835</v>
      </c>
      <c r="AB249" s="178">
        <f t="shared" ref="AB249:AB280" si="410">L*AA249/J249*1000000</f>
        <v>2.2119815668202762</v>
      </c>
      <c r="AC249" s="178">
        <f t="shared" ref="AC249:AC280" si="411">0.5*AB249*AA249*Nps*X249/1000</f>
        <v>1.4984391259105099</v>
      </c>
      <c r="AD249" s="178"/>
      <c r="AE249" s="178">
        <f t="shared" ref="AE249:AE280" si="412">L*Isw_min/J249*1000000</f>
        <v>0.46857142857142853</v>
      </c>
      <c r="AF249" s="560">
        <f>MAX(12000,F249/(0.5*AE249/1000000*Isw_min*Nps))/1000</f>
        <v>1332.5401546698397</v>
      </c>
      <c r="AG249" s="543">
        <f t="shared" ref="AG249:AG280" si="413">0.5*AE249/1000000*Isw_min*Nps*X249*1000</f>
        <v>6.723999999999998E-2</v>
      </c>
      <c r="AI249" s="178">
        <f t="shared" ref="AI249:AI280" si="414">SQRT(F249/(0.5*L/J249*Fsw_DCM*Nps))</f>
        <v>1.6</v>
      </c>
      <c r="AJ249" s="178">
        <f t="shared" ref="AJ249:AJ280" si="415">MAX(IF(F249&gt;AC249,U249,AI249),Isw_min)</f>
        <v>1.6</v>
      </c>
      <c r="AK249" s="178">
        <f t="shared" ref="AK249:AK280" si="416">IF(F249&gt;AG249, (AJ249-Isw_min)/1.08*0.8+1.2, AF249*0.2/350+1)</f>
        <v>1.7777777777777777</v>
      </c>
      <c r="AM249" s="560">
        <f t="shared" ref="AM249:AM280" si="417">F249*1000</f>
        <v>256</v>
      </c>
      <c r="AN249" s="470">
        <f t="shared" ref="AN249:AN280" si="418">IF(F249&gt;AG249, Y249, AF249)</f>
        <v>350</v>
      </c>
      <c r="AP249">
        <f t="shared" ref="AP249:AP280" si="419">IF(H249&gt;N249, "",AM249)</f>
        <v>256</v>
      </c>
      <c r="AQ249">
        <f t="shared" ref="AQ249:AQ280" si="420">IF(H249&gt;N249, "",AN249)</f>
        <v>350</v>
      </c>
      <c r="AS249" s="6">
        <f t="shared" si="320"/>
        <v>2.8571428571428572</v>
      </c>
      <c r="AT249" s="6">
        <f t="shared" ref="AT249:AT280" si="421">L*AJ249/I249*1000000</f>
        <v>0.26666666666666666</v>
      </c>
      <c r="AU249" s="6">
        <f t="shared" si="393"/>
        <v>2.5904761904761906</v>
      </c>
      <c r="AV249" s="6"/>
      <c r="AW249" s="178">
        <f t="shared" si="394"/>
        <v>9.3333333333333324E-2</v>
      </c>
      <c r="AX249" s="178"/>
      <c r="BA249" s="470">
        <f>L*Isw_max^2/(2*Vout_ripple*Vout)*1000000000*((1+M249)/2)^2</f>
        <v>15.348186929124752</v>
      </c>
      <c r="BB249" s="470">
        <f>L*F249^2/(2*Cout*Vout*Nps^2)*1000000000*((1+M249)/(1-M249))^2+F249*RCoutEsr</f>
        <v>1.7875618597320728</v>
      </c>
      <c r="BC249" s="6">
        <f t="shared" si="392"/>
        <v>0.29547731763270613</v>
      </c>
      <c r="BD249" s="470">
        <f>((BY249/I249/Efficiency)*AU249/Cin+(BY249/I249/Efficiency)*RCinEsr)*1000</f>
        <v>0</v>
      </c>
      <c r="CD249" s="577">
        <f t="shared" ref="CD249:CD280" si="422">IF(ABS(F249-Ioutmax_Vinmax)&lt;Iout/200, AN249, -50)</f>
        <v>-50</v>
      </c>
      <c r="CE249">
        <f t="shared" ref="CE249:CE280" si="423">IF(ABS(F249-Ioutmax_Vinmin)&lt;Iout/200, N249*BZ249, -50)</f>
        <v>-50</v>
      </c>
    </row>
    <row r="250" spans="5:83" x14ac:dyDescent="0.2">
      <c r="E250" s="175">
        <v>33</v>
      </c>
      <c r="F250" s="222">
        <f t="shared" ref="F250:F281" si="424">IF(PLOT_TYPE=1, E250/100*Iout_max, min_I*EXP(N250*rr/100))</f>
        <v>0.26400000000000001</v>
      </c>
      <c r="G250" s="222"/>
      <c r="H250" s="222">
        <f t="shared" si="395"/>
        <v>3.1680000000000001</v>
      </c>
      <c r="I250" s="556">
        <f t="shared" si="396"/>
        <v>42</v>
      </c>
      <c r="J250" s="452">
        <f t="shared" si="397"/>
        <v>12.25</v>
      </c>
      <c r="K250" s="452">
        <f t="shared" si="398"/>
        <v>54.25</v>
      </c>
      <c r="L250" s="452"/>
      <c r="M250" s="222">
        <f t="shared" si="399"/>
        <v>0.22580645161290322</v>
      </c>
      <c r="N250" s="177">
        <f t="shared" si="400"/>
        <v>18.469838709677418</v>
      </c>
      <c r="O250" s="177">
        <f t="shared" si="319"/>
        <v>3.1680000000000001</v>
      </c>
      <c r="P250" s="222">
        <f t="shared" si="401"/>
        <v>1.5391532258064515</v>
      </c>
      <c r="Q250" s="222">
        <f t="shared" si="402"/>
        <v>12</v>
      </c>
      <c r="R250" s="222"/>
      <c r="S250" s="177">
        <f t="shared" si="403"/>
        <v>267.86870721281713</v>
      </c>
      <c r="T250" s="177">
        <f t="shared" si="404"/>
        <v>12</v>
      </c>
      <c r="U250" s="222">
        <f t="shared" si="405"/>
        <v>0.70324382384532769</v>
      </c>
      <c r="V250" s="222">
        <f t="shared" si="406"/>
        <v>0.11720730397422129</v>
      </c>
      <c r="W250" s="222">
        <f t="shared" si="407"/>
        <v>0.40185361362590155</v>
      </c>
      <c r="X250" s="202">
        <f t="shared" si="408"/>
        <v>350</v>
      </c>
      <c r="Y250" s="452">
        <f t="shared" si="375"/>
        <v>350</v>
      </c>
      <c r="AA250" s="222">
        <f t="shared" si="409"/>
        <v>3.8709677419354835</v>
      </c>
      <c r="AB250" s="178">
        <f t="shared" si="410"/>
        <v>2.2119815668202762</v>
      </c>
      <c r="AC250" s="178">
        <f t="shared" si="411"/>
        <v>1.4984391259105099</v>
      </c>
      <c r="AD250" s="178"/>
      <c r="AE250" s="178">
        <f t="shared" si="412"/>
        <v>0.46857142857142853</v>
      </c>
      <c r="AF250" s="560">
        <f>MAX(12000,F250/(0.5*AE250/1000000*Isw_min*Nps))/1000</f>
        <v>1374.1820345032722</v>
      </c>
      <c r="AG250" s="543">
        <f t="shared" si="413"/>
        <v>6.723999999999998E-2</v>
      </c>
      <c r="AI250" s="178">
        <f t="shared" si="414"/>
        <v>1.6248076809271921</v>
      </c>
      <c r="AJ250" s="178">
        <f t="shared" si="415"/>
        <v>1.6248076809271921</v>
      </c>
      <c r="AK250" s="178">
        <f t="shared" si="416"/>
        <v>1.796153837723846</v>
      </c>
      <c r="AM250" s="560">
        <f t="shared" si="417"/>
        <v>264</v>
      </c>
      <c r="AN250" s="470">
        <f t="shared" si="418"/>
        <v>350</v>
      </c>
      <c r="AP250">
        <f t="shared" si="419"/>
        <v>264</v>
      </c>
      <c r="AQ250">
        <f t="shared" si="420"/>
        <v>350</v>
      </c>
      <c r="AS250" s="6">
        <f t="shared" si="320"/>
        <v>2.8571428571428572</v>
      </c>
      <c r="AT250" s="6">
        <f t="shared" si="421"/>
        <v>0.27080128015453198</v>
      </c>
      <c r="AU250" s="6">
        <f t="shared" si="393"/>
        <v>2.5863415769883251</v>
      </c>
      <c r="AV250" s="6"/>
      <c r="AW250" s="178">
        <f t="shared" si="394"/>
        <v>9.4780448054086183E-2</v>
      </c>
      <c r="AX250" s="178"/>
      <c r="BA250" s="470">
        <f>L*Isw_max^2/(2*Vout_ripple*Vout)*1000000000*((1+M250)/2)^2</f>
        <v>15.348186929124752</v>
      </c>
      <c r="BB250" s="470">
        <f>L*F250^2/(2*Cout*Vout*Nps^2)*1000000000*((1+M250)/(1-M250))^2+F250*RCoutEsr</f>
        <v>1.8762801418439723</v>
      </c>
      <c r="BC250" s="6">
        <f t="shared" si="392"/>
        <v>0.30422463996654653</v>
      </c>
      <c r="BD250" s="470">
        <f>((BY250/I250/Efficiency)*AU250/Cin+(BY250/I250/Efficiency)*RCinEsr)*1000</f>
        <v>0</v>
      </c>
      <c r="CD250" s="577">
        <f t="shared" si="422"/>
        <v>-50</v>
      </c>
      <c r="CE250">
        <f t="shared" si="423"/>
        <v>-50</v>
      </c>
    </row>
    <row r="251" spans="5:83" x14ac:dyDescent="0.2">
      <c r="E251" s="175">
        <v>34</v>
      </c>
      <c r="F251" s="222">
        <f t="shared" si="424"/>
        <v>0.27200000000000002</v>
      </c>
      <c r="G251" s="222"/>
      <c r="H251" s="222">
        <f t="shared" si="395"/>
        <v>3.2640000000000002</v>
      </c>
      <c r="I251" s="556">
        <f t="shared" si="396"/>
        <v>42</v>
      </c>
      <c r="J251" s="452">
        <f t="shared" si="397"/>
        <v>12.25</v>
      </c>
      <c r="K251" s="452">
        <f t="shared" si="398"/>
        <v>54.25</v>
      </c>
      <c r="L251" s="452"/>
      <c r="M251" s="222">
        <f t="shared" si="399"/>
        <v>0.22580645161290322</v>
      </c>
      <c r="N251" s="177">
        <f t="shared" si="400"/>
        <v>18.469838709677418</v>
      </c>
      <c r="O251" s="177">
        <f t="shared" si="319"/>
        <v>3.2640000000000002</v>
      </c>
      <c r="P251" s="222">
        <f t="shared" si="401"/>
        <v>1.5391532258064515</v>
      </c>
      <c r="Q251" s="222">
        <f t="shared" si="402"/>
        <v>12</v>
      </c>
      <c r="R251" s="222"/>
      <c r="S251" s="177">
        <f t="shared" si="403"/>
        <v>258.75745113897415</v>
      </c>
      <c r="T251" s="177">
        <f t="shared" si="404"/>
        <v>12</v>
      </c>
      <c r="U251" s="222">
        <f t="shared" si="405"/>
        <v>0.72455424274973157</v>
      </c>
      <c r="V251" s="222">
        <f t="shared" si="406"/>
        <v>0.1207590404582886</v>
      </c>
      <c r="W251" s="222">
        <f t="shared" si="407"/>
        <v>0.41403099585698949</v>
      </c>
      <c r="X251" s="202">
        <f t="shared" si="408"/>
        <v>350</v>
      </c>
      <c r="Y251" s="452">
        <f t="shared" si="375"/>
        <v>350</v>
      </c>
      <c r="AA251" s="222">
        <f t="shared" si="409"/>
        <v>3.8709677419354835</v>
      </c>
      <c r="AB251" s="178">
        <f t="shared" si="410"/>
        <v>2.2119815668202762</v>
      </c>
      <c r="AC251" s="178">
        <f t="shared" si="411"/>
        <v>1.4984391259105099</v>
      </c>
      <c r="AD251" s="178"/>
      <c r="AE251" s="178">
        <f t="shared" si="412"/>
        <v>0.46857142857142853</v>
      </c>
      <c r="AF251" s="560">
        <f>MAX(12000,F251/(0.5*AE251/1000000*Isw_min*Nps))/1000</f>
        <v>1415.8239143367045</v>
      </c>
      <c r="AG251" s="543">
        <f t="shared" si="413"/>
        <v>6.723999999999998E-2</v>
      </c>
      <c r="AI251" s="178">
        <f t="shared" si="414"/>
        <v>1.6492422502470645</v>
      </c>
      <c r="AJ251" s="178">
        <f t="shared" si="415"/>
        <v>1.6492422502470645</v>
      </c>
      <c r="AK251" s="178">
        <f t="shared" si="416"/>
        <v>1.8142535187015292</v>
      </c>
      <c r="AM251" s="560">
        <f t="shared" si="417"/>
        <v>272</v>
      </c>
      <c r="AN251" s="470">
        <f t="shared" si="418"/>
        <v>350</v>
      </c>
      <c r="AP251">
        <f t="shared" si="419"/>
        <v>272</v>
      </c>
      <c r="AQ251">
        <f t="shared" si="420"/>
        <v>350</v>
      </c>
      <c r="AS251" s="6">
        <f t="shared" si="320"/>
        <v>2.8571428571428572</v>
      </c>
      <c r="AT251" s="6">
        <f t="shared" si="421"/>
        <v>0.27487370837451075</v>
      </c>
      <c r="AU251" s="6">
        <f t="shared" si="393"/>
        <v>2.5822691487683462</v>
      </c>
      <c r="AV251" s="6"/>
      <c r="AW251" s="178">
        <f t="shared" si="394"/>
        <v>9.6205797931078765E-2</v>
      </c>
      <c r="AX251" s="178"/>
      <c r="BA251" s="470">
        <f>L*Isw_max^2/(2*Vout_ripple*Vout)*1000000000*((1+M251)/2)^2</f>
        <v>15.348186929124752</v>
      </c>
      <c r="BB251" s="470">
        <f>L*F251^2/(2*Cout*Vout*Nps^2)*1000000000*((1+M251)/(1-M251))^2+F251*RCoutEsr</f>
        <v>1.9669897557131604</v>
      </c>
      <c r="BC251" s="6">
        <f t="shared" si="392"/>
        <v>0.31295002326482435</v>
      </c>
      <c r="BD251" s="470">
        <f>((BY251/I251/Efficiency)*AU251/Cin+(BY251/I251/Efficiency)*RCinEsr)*1000</f>
        <v>0</v>
      </c>
      <c r="CD251" s="577">
        <f t="shared" si="422"/>
        <v>-50</v>
      </c>
      <c r="CE251">
        <f t="shared" si="423"/>
        <v>-50</v>
      </c>
    </row>
    <row r="252" spans="5:83" x14ac:dyDescent="0.2">
      <c r="E252" s="175">
        <v>35</v>
      </c>
      <c r="F252" s="222">
        <f t="shared" si="424"/>
        <v>0.27999999999999997</v>
      </c>
      <c r="G252" s="222"/>
      <c r="H252" s="222">
        <f t="shared" si="395"/>
        <v>3.3599999999999994</v>
      </c>
      <c r="I252" s="556">
        <f t="shared" si="396"/>
        <v>42</v>
      </c>
      <c r="J252" s="452">
        <f t="shared" si="397"/>
        <v>12.25</v>
      </c>
      <c r="K252" s="452">
        <f t="shared" si="398"/>
        <v>54.25</v>
      </c>
      <c r="L252" s="452"/>
      <c r="M252" s="222">
        <f t="shared" si="399"/>
        <v>0.22580645161290322</v>
      </c>
      <c r="N252" s="177">
        <f t="shared" si="400"/>
        <v>18.469838709677418</v>
      </c>
      <c r="O252" s="177">
        <f t="shared" si="319"/>
        <v>3.3599999999999994</v>
      </c>
      <c r="P252" s="222">
        <f t="shared" si="401"/>
        <v>1.5391532258064515</v>
      </c>
      <c r="Q252" s="222">
        <f t="shared" si="402"/>
        <v>12</v>
      </c>
      <c r="R252" s="222"/>
      <c r="S252" s="177">
        <f t="shared" si="403"/>
        <v>250.16693007236759</v>
      </c>
      <c r="T252" s="177">
        <f t="shared" si="404"/>
        <v>12</v>
      </c>
      <c r="U252" s="222">
        <f t="shared" si="405"/>
        <v>0.74586466165413523</v>
      </c>
      <c r="V252" s="222">
        <f t="shared" si="406"/>
        <v>0.12431077694235589</v>
      </c>
      <c r="W252" s="222">
        <f t="shared" si="407"/>
        <v>0.42620837808807727</v>
      </c>
      <c r="X252" s="202">
        <f t="shared" si="408"/>
        <v>350</v>
      </c>
      <c r="Y252" s="452">
        <f t="shared" si="375"/>
        <v>350</v>
      </c>
      <c r="AA252" s="222">
        <f t="shared" si="409"/>
        <v>3.8709677419354835</v>
      </c>
      <c r="AB252" s="178">
        <f t="shared" si="410"/>
        <v>2.2119815668202762</v>
      </c>
      <c r="AC252" s="178">
        <f t="shared" si="411"/>
        <v>1.4984391259105099</v>
      </c>
      <c r="AD252" s="178"/>
      <c r="AE252" s="178">
        <f t="shared" si="412"/>
        <v>0.46857142857142853</v>
      </c>
      <c r="AF252" s="560">
        <f>MAX(12000,F252/(0.5*AE252/1000000*Isw_min*Nps))/1000</f>
        <v>1457.4657941701371</v>
      </c>
      <c r="AG252" s="543">
        <f t="shared" si="413"/>
        <v>6.723999999999998E-2</v>
      </c>
      <c r="AI252" s="178">
        <f t="shared" si="414"/>
        <v>1.6733200530681511</v>
      </c>
      <c r="AJ252" s="178">
        <f t="shared" si="415"/>
        <v>1.6733200530681511</v>
      </c>
      <c r="AK252" s="178">
        <f t="shared" si="416"/>
        <v>1.8320889281986306</v>
      </c>
      <c r="AM252" s="560">
        <f t="shared" si="417"/>
        <v>279.99999999999994</v>
      </c>
      <c r="AN252" s="470">
        <f t="shared" si="418"/>
        <v>350</v>
      </c>
      <c r="AP252">
        <f t="shared" si="419"/>
        <v>279.99999999999994</v>
      </c>
      <c r="AQ252">
        <f t="shared" si="420"/>
        <v>350</v>
      </c>
      <c r="AS252" s="6">
        <f t="shared" si="320"/>
        <v>2.8571428571428572</v>
      </c>
      <c r="AT252" s="6">
        <f t="shared" si="421"/>
        <v>0.27888667551135848</v>
      </c>
      <c r="AU252" s="6">
        <f t="shared" si="393"/>
        <v>2.5782561816314988</v>
      </c>
      <c r="AV252" s="6"/>
      <c r="AW252" s="178">
        <f t="shared" si="394"/>
        <v>9.7610336428975472E-2</v>
      </c>
      <c r="AX252" s="178"/>
      <c r="BA252" s="470">
        <f>L*Isw_max^2/(2*Vout_ripple*Vout)*1000000000*((1+M252)/2)^2</f>
        <v>15.348186929124752</v>
      </c>
      <c r="BB252" s="470">
        <f>L*F252^2/(2*Cout*Vout*Nps^2)*1000000000*((1+M252)/(1-M252))^2+F252*RCoutEsr</f>
        <v>2.0596907013396373</v>
      </c>
      <c r="BC252" s="6">
        <f t="shared" si="392"/>
        <v>0.3216537926401869</v>
      </c>
      <c r="BD252" s="470">
        <f>((BY252/I252/Efficiency)*AU252/Cin+(BY252/I252/Efficiency)*RCinEsr)*1000</f>
        <v>0</v>
      </c>
      <c r="CD252" s="577">
        <f t="shared" si="422"/>
        <v>-50</v>
      </c>
      <c r="CE252">
        <f t="shared" si="423"/>
        <v>-50</v>
      </c>
    </row>
    <row r="253" spans="5:83" x14ac:dyDescent="0.2">
      <c r="E253" s="175">
        <v>36</v>
      </c>
      <c r="F253" s="222">
        <f t="shared" si="424"/>
        <v>0.28799999999999998</v>
      </c>
      <c r="G253" s="222"/>
      <c r="H253" s="222">
        <f t="shared" si="395"/>
        <v>3.4559999999999995</v>
      </c>
      <c r="I253" s="556">
        <f t="shared" si="396"/>
        <v>42</v>
      </c>
      <c r="J253" s="452">
        <f t="shared" si="397"/>
        <v>12.25</v>
      </c>
      <c r="K253" s="452">
        <f t="shared" si="398"/>
        <v>54.25</v>
      </c>
      <c r="L253" s="452"/>
      <c r="M253" s="222">
        <f t="shared" si="399"/>
        <v>0.22580645161290322</v>
      </c>
      <c r="N253" s="177">
        <f t="shared" si="400"/>
        <v>18.469838709677418</v>
      </c>
      <c r="O253" s="177">
        <f t="shared" si="319"/>
        <v>3.4559999999999995</v>
      </c>
      <c r="P253" s="222">
        <f t="shared" si="401"/>
        <v>1.5391532258064515</v>
      </c>
      <c r="Q253" s="222">
        <f t="shared" si="402"/>
        <v>12</v>
      </c>
      <c r="R253" s="222"/>
      <c r="S253" s="177">
        <f t="shared" si="403"/>
        <v>242.05375070491186</v>
      </c>
      <c r="T253" s="177">
        <f t="shared" si="404"/>
        <v>12</v>
      </c>
      <c r="U253" s="222">
        <f t="shared" si="405"/>
        <v>0.76717508055853911</v>
      </c>
      <c r="V253" s="222">
        <f t="shared" si="406"/>
        <v>0.12786251342642319</v>
      </c>
      <c r="W253" s="222">
        <f t="shared" si="407"/>
        <v>0.43838576031916521</v>
      </c>
      <c r="X253" s="202">
        <f t="shared" si="408"/>
        <v>350</v>
      </c>
      <c r="Y253" s="452">
        <f t="shared" si="375"/>
        <v>350</v>
      </c>
      <c r="AA253" s="222">
        <f t="shared" si="409"/>
        <v>3.8709677419354835</v>
      </c>
      <c r="AB253" s="178">
        <f t="shared" si="410"/>
        <v>2.2119815668202762</v>
      </c>
      <c r="AC253" s="178">
        <f t="shared" si="411"/>
        <v>1.4984391259105099</v>
      </c>
      <c r="AD253" s="178"/>
      <c r="AE253" s="178">
        <f t="shared" si="412"/>
        <v>0.46857142857142853</v>
      </c>
      <c r="AF253" s="560">
        <f>MAX(12000,F253/(0.5*AE253/1000000*Isw_min*Nps))/1000</f>
        <v>1499.1076740035694</v>
      </c>
      <c r="AG253" s="543">
        <f t="shared" si="413"/>
        <v>6.723999999999998E-2</v>
      </c>
      <c r="AI253" s="178">
        <f t="shared" si="414"/>
        <v>1.697056274847714</v>
      </c>
      <c r="AJ253" s="178">
        <f t="shared" si="415"/>
        <v>1.697056274847714</v>
      </c>
      <c r="AK253" s="178">
        <f t="shared" si="416"/>
        <v>1.8496713147020105</v>
      </c>
      <c r="AM253" s="560">
        <f t="shared" si="417"/>
        <v>288</v>
      </c>
      <c r="AN253" s="470">
        <f t="shared" si="418"/>
        <v>350</v>
      </c>
      <c r="AP253">
        <f t="shared" si="419"/>
        <v>288</v>
      </c>
      <c r="AQ253">
        <f t="shared" si="420"/>
        <v>350</v>
      </c>
      <c r="AS253" s="6">
        <f t="shared" si="320"/>
        <v>2.8571428571428572</v>
      </c>
      <c r="AT253" s="6">
        <f t="shared" si="421"/>
        <v>0.28284271247461901</v>
      </c>
      <c r="AU253" s="6">
        <f t="shared" si="393"/>
        <v>2.5743001446682383</v>
      </c>
      <c r="AV253" s="6"/>
      <c r="AW253" s="178">
        <f t="shared" si="394"/>
        <v>9.899494936611665E-2</v>
      </c>
      <c r="AX253" s="178"/>
      <c r="BA253" s="470">
        <f>L*Isw_max^2/(2*Vout_ripple*Vout)*1000000000*((1+M253)/2)^2</f>
        <v>15.348186929124752</v>
      </c>
      <c r="BB253" s="470">
        <f>L*F253^2/(2*Cout*Vout*Nps^2)*1000000000*((1+M253)/(1-M253))^2+F253*RCoutEsr</f>
        <v>2.1543829787234046</v>
      </c>
      <c r="BC253" s="6">
        <f t="shared" si="392"/>
        <v>0.33033625916544812</v>
      </c>
      <c r="BD253" s="470">
        <f>((BY253/I253/Efficiency)*AU253/Cin+(BY253/I253/Efficiency)*RCinEsr)*1000</f>
        <v>0</v>
      </c>
      <c r="CD253" s="577">
        <f t="shared" si="422"/>
        <v>-50</v>
      </c>
      <c r="CE253">
        <f t="shared" si="423"/>
        <v>-50</v>
      </c>
    </row>
    <row r="254" spans="5:83" x14ac:dyDescent="0.2">
      <c r="E254" s="175">
        <v>37</v>
      </c>
      <c r="F254" s="222">
        <f t="shared" si="424"/>
        <v>0.29599999999999999</v>
      </c>
      <c r="G254" s="222"/>
      <c r="H254" s="222">
        <f t="shared" si="395"/>
        <v>3.5519999999999996</v>
      </c>
      <c r="I254" s="556">
        <f t="shared" si="396"/>
        <v>42</v>
      </c>
      <c r="J254" s="452">
        <f t="shared" si="397"/>
        <v>12.25</v>
      </c>
      <c r="K254" s="452">
        <f t="shared" si="398"/>
        <v>54.25</v>
      </c>
      <c r="L254" s="452"/>
      <c r="M254" s="222">
        <f t="shared" si="399"/>
        <v>0.22580645161290322</v>
      </c>
      <c r="N254" s="177">
        <f t="shared" si="400"/>
        <v>18.469838709677418</v>
      </c>
      <c r="O254" s="177">
        <f t="shared" si="319"/>
        <v>3.5519999999999996</v>
      </c>
      <c r="P254" s="222">
        <f t="shared" si="401"/>
        <v>1.5391532258064515</v>
      </c>
      <c r="Q254" s="222">
        <f t="shared" si="402"/>
        <v>12</v>
      </c>
      <c r="R254" s="222"/>
      <c r="S254" s="177">
        <f t="shared" si="403"/>
        <v>234.37921092053628</v>
      </c>
      <c r="T254" s="177">
        <f t="shared" si="404"/>
        <v>12</v>
      </c>
      <c r="U254" s="222">
        <f t="shared" si="405"/>
        <v>0.788485499462943</v>
      </c>
      <c r="V254" s="222">
        <f t="shared" si="406"/>
        <v>0.1314142499104905</v>
      </c>
      <c r="W254" s="222">
        <f t="shared" si="407"/>
        <v>0.45056314255025315</v>
      </c>
      <c r="X254" s="202">
        <f t="shared" si="408"/>
        <v>350</v>
      </c>
      <c r="Y254" s="452">
        <f t="shared" si="375"/>
        <v>350</v>
      </c>
      <c r="AA254" s="222">
        <f t="shared" si="409"/>
        <v>3.8709677419354835</v>
      </c>
      <c r="AB254" s="178">
        <f t="shared" si="410"/>
        <v>2.2119815668202762</v>
      </c>
      <c r="AC254" s="178">
        <f t="shared" si="411"/>
        <v>1.4984391259105099</v>
      </c>
      <c r="AD254" s="178"/>
      <c r="AE254" s="178">
        <f t="shared" si="412"/>
        <v>0.46857142857142853</v>
      </c>
      <c r="AF254" s="560">
        <f>MAX(12000,F254/(0.5*AE254/1000000*Isw_min*Nps))/1000</f>
        <v>1540.7495538370019</v>
      </c>
      <c r="AG254" s="543">
        <f t="shared" si="413"/>
        <v>6.723999999999998E-2</v>
      </c>
      <c r="AI254" s="178">
        <f t="shared" si="414"/>
        <v>1.7204650534085253</v>
      </c>
      <c r="AJ254" s="178">
        <f t="shared" si="415"/>
        <v>1.7204650534085253</v>
      </c>
      <c r="AK254" s="178">
        <f t="shared" si="416"/>
        <v>1.8670111506729816</v>
      </c>
      <c r="AM254" s="560">
        <f t="shared" si="417"/>
        <v>296</v>
      </c>
      <c r="AN254" s="470">
        <f t="shared" si="418"/>
        <v>350</v>
      </c>
      <c r="AP254">
        <f t="shared" si="419"/>
        <v>296</v>
      </c>
      <c r="AQ254">
        <f t="shared" si="420"/>
        <v>350</v>
      </c>
      <c r="AS254" s="6">
        <f t="shared" si="320"/>
        <v>2.8571428571428572</v>
      </c>
      <c r="AT254" s="6">
        <f t="shared" si="421"/>
        <v>0.28674417556808757</v>
      </c>
      <c r="AU254" s="6">
        <f t="shared" si="393"/>
        <v>2.5703986815747695</v>
      </c>
      <c r="AV254" s="6"/>
      <c r="AW254" s="178">
        <f t="shared" si="394"/>
        <v>0.10036046144883065</v>
      </c>
      <c r="AX254" s="178"/>
      <c r="BA254" s="470">
        <f>L*Isw_max^2/(2*Vout_ripple*Vout)*1000000000*((1+M254)/2)^2</f>
        <v>15.348186929124752</v>
      </c>
      <c r="BB254" s="470">
        <f>L*F254^2/(2*Cout*Vout*Nps^2)*1000000000*((1+M254)/(1-M254))^2+F254*RCoutEsr</f>
        <v>2.25106658786446</v>
      </c>
      <c r="BC254" s="6">
        <f t="shared" si="392"/>
        <v>0.33899772085597624</v>
      </c>
      <c r="BD254" s="470">
        <f>((BY254/I254/Efficiency)*AU254/Cin+(BY254/I254/Efficiency)*RCinEsr)*1000</f>
        <v>0</v>
      </c>
      <c r="CD254" s="577">
        <f t="shared" si="422"/>
        <v>-50</v>
      </c>
      <c r="CE254">
        <f t="shared" si="423"/>
        <v>-50</v>
      </c>
    </row>
    <row r="255" spans="5:83" x14ac:dyDescent="0.2">
      <c r="E255" s="175">
        <v>38</v>
      </c>
      <c r="F255" s="222">
        <f t="shared" si="424"/>
        <v>0.30400000000000005</v>
      </c>
      <c r="G255" s="222"/>
      <c r="H255" s="222">
        <f t="shared" si="395"/>
        <v>3.6480000000000006</v>
      </c>
      <c r="I255" s="556">
        <f t="shared" si="396"/>
        <v>42</v>
      </c>
      <c r="J255" s="452">
        <f t="shared" si="397"/>
        <v>12.25</v>
      </c>
      <c r="K255" s="452">
        <f t="shared" si="398"/>
        <v>54.25</v>
      </c>
      <c r="L255" s="452"/>
      <c r="M255" s="222">
        <f t="shared" si="399"/>
        <v>0.22580645161290322</v>
      </c>
      <c r="N255" s="177">
        <f t="shared" si="400"/>
        <v>18.469838709677418</v>
      </c>
      <c r="O255" s="177">
        <f t="shared" si="319"/>
        <v>3.6480000000000006</v>
      </c>
      <c r="P255" s="222">
        <f t="shared" si="401"/>
        <v>1.5391532258064515</v>
      </c>
      <c r="Q255" s="222">
        <f t="shared" si="402"/>
        <v>12</v>
      </c>
      <c r="R255" s="222"/>
      <c r="S255" s="177">
        <f t="shared" si="403"/>
        <v>227.10868253362034</v>
      </c>
      <c r="T255" s="177">
        <f t="shared" si="404"/>
        <v>12</v>
      </c>
      <c r="U255" s="222">
        <f t="shared" si="405"/>
        <v>0.8097959183673471</v>
      </c>
      <c r="V255" s="222">
        <f t="shared" si="406"/>
        <v>0.13496598639455787</v>
      </c>
      <c r="W255" s="222">
        <f t="shared" si="407"/>
        <v>0.4627405247813412</v>
      </c>
      <c r="X255" s="202">
        <f t="shared" si="408"/>
        <v>350</v>
      </c>
      <c r="Y255" s="452">
        <f t="shared" si="375"/>
        <v>350</v>
      </c>
      <c r="AA255" s="222">
        <f t="shared" si="409"/>
        <v>3.8709677419354835</v>
      </c>
      <c r="AB255" s="178">
        <f t="shared" si="410"/>
        <v>2.2119815668202762</v>
      </c>
      <c r="AC255" s="178">
        <f t="shared" si="411"/>
        <v>1.4984391259105099</v>
      </c>
      <c r="AD255" s="178"/>
      <c r="AE255" s="178">
        <f t="shared" si="412"/>
        <v>0.46857142857142853</v>
      </c>
      <c r="AF255" s="560">
        <f>MAX(12000,F255/(0.5*AE255/1000000*Isw_min*Nps))/1000</f>
        <v>1582.3914336704349</v>
      </c>
      <c r="AG255" s="543">
        <f t="shared" si="413"/>
        <v>6.723999999999998E-2</v>
      </c>
      <c r="AI255" s="178">
        <f t="shared" si="414"/>
        <v>1.7435595774162698</v>
      </c>
      <c r="AJ255" s="178">
        <f t="shared" si="415"/>
        <v>1.7435595774162698</v>
      </c>
      <c r="AK255" s="178">
        <f t="shared" si="416"/>
        <v>1.8841182054935333</v>
      </c>
      <c r="AM255" s="560">
        <f t="shared" si="417"/>
        <v>304.00000000000006</v>
      </c>
      <c r="AN255" s="470">
        <f t="shared" si="418"/>
        <v>350</v>
      </c>
      <c r="AP255">
        <f t="shared" si="419"/>
        <v>304.00000000000006</v>
      </c>
      <c r="AQ255">
        <f t="shared" si="420"/>
        <v>350</v>
      </c>
      <c r="AS255" s="6">
        <f t="shared" si="320"/>
        <v>2.8571428571428572</v>
      </c>
      <c r="AT255" s="6">
        <f t="shared" si="421"/>
        <v>0.29059326290271165</v>
      </c>
      <c r="AU255" s="6">
        <f t="shared" si="393"/>
        <v>2.5665495942401457</v>
      </c>
      <c r="AV255" s="6"/>
      <c r="AW255" s="178">
        <f t="shared" si="394"/>
        <v>0.10170764201594908</v>
      </c>
      <c r="AX255" s="178"/>
      <c r="BA255" s="470">
        <f>L*Isw_max^2/(2*Vout_ripple*Vout)*1000000000*((1+M255)/2)^2</f>
        <v>15.348186929124752</v>
      </c>
      <c r="BB255" s="470">
        <f>L*F255^2/(2*Cout*Vout*Nps^2)*1000000000*((1+M255)/(1-M255))^2+F255*RCoutEsr</f>
        <v>2.3497415287628058</v>
      </c>
      <c r="BC255" s="6">
        <f t="shared" si="392"/>
        <v>0.34763846355845363</v>
      </c>
      <c r="BD255" s="470">
        <f>((BY255/I255/Efficiency)*AU255/Cin+(BY255/I255/Efficiency)*RCinEsr)*1000</f>
        <v>0</v>
      </c>
      <c r="CD255" s="577">
        <f t="shared" si="422"/>
        <v>-50</v>
      </c>
      <c r="CE255">
        <f t="shared" si="423"/>
        <v>-50</v>
      </c>
    </row>
    <row r="256" spans="5:83" x14ac:dyDescent="0.2">
      <c r="E256" s="175">
        <v>39</v>
      </c>
      <c r="F256" s="222">
        <f t="shared" si="424"/>
        <v>0.31200000000000006</v>
      </c>
      <c r="G256" s="222"/>
      <c r="H256" s="222">
        <f t="shared" si="395"/>
        <v>3.7440000000000007</v>
      </c>
      <c r="I256" s="556">
        <f t="shared" si="396"/>
        <v>42</v>
      </c>
      <c r="J256" s="452">
        <f t="shared" si="397"/>
        <v>12.25</v>
      </c>
      <c r="K256" s="452">
        <f t="shared" si="398"/>
        <v>54.25</v>
      </c>
      <c r="L256" s="452"/>
      <c r="M256" s="222">
        <f t="shared" si="399"/>
        <v>0.22580645161290322</v>
      </c>
      <c r="N256" s="177">
        <f t="shared" si="400"/>
        <v>18.469838709677418</v>
      </c>
      <c r="O256" s="177">
        <f t="shared" si="319"/>
        <v>3.7440000000000007</v>
      </c>
      <c r="P256" s="222">
        <f t="shared" si="401"/>
        <v>1.5391532258064515</v>
      </c>
      <c r="Q256" s="222">
        <f t="shared" si="402"/>
        <v>12</v>
      </c>
      <c r="R256" s="222"/>
      <c r="S256" s="177">
        <f t="shared" si="403"/>
        <v>220.21108899076185</v>
      </c>
      <c r="T256" s="177">
        <f t="shared" si="404"/>
        <v>12</v>
      </c>
      <c r="U256" s="222">
        <f t="shared" si="405"/>
        <v>0.83110633727175098</v>
      </c>
      <c r="V256" s="222">
        <f t="shared" si="406"/>
        <v>0.13851772287862518</v>
      </c>
      <c r="W256" s="222">
        <f t="shared" si="407"/>
        <v>0.47491790701242914</v>
      </c>
      <c r="X256" s="202">
        <f t="shared" si="408"/>
        <v>350</v>
      </c>
      <c r="Y256" s="452">
        <f t="shared" si="375"/>
        <v>350</v>
      </c>
      <c r="AA256" s="222">
        <f t="shared" si="409"/>
        <v>3.8709677419354835</v>
      </c>
      <c r="AB256" s="178">
        <f t="shared" si="410"/>
        <v>2.2119815668202762</v>
      </c>
      <c r="AC256" s="178">
        <f t="shared" si="411"/>
        <v>1.4984391259105099</v>
      </c>
      <c r="AD256" s="178"/>
      <c r="AE256" s="178">
        <f t="shared" si="412"/>
        <v>0.46857142857142853</v>
      </c>
      <c r="AF256" s="560">
        <f>MAX(12000,F256/(0.5*AE256/1000000*Isw_min*Nps))/1000</f>
        <v>1624.0333135038672</v>
      </c>
      <c r="AG256" s="543">
        <f t="shared" si="413"/>
        <v>6.723999999999998E-2</v>
      </c>
      <c r="AI256" s="178">
        <f t="shared" si="414"/>
        <v>1.7663521732655696</v>
      </c>
      <c r="AJ256" s="178">
        <f t="shared" si="415"/>
        <v>1.7663521732655696</v>
      </c>
      <c r="AK256" s="178">
        <f t="shared" si="416"/>
        <v>1.9010016098263478</v>
      </c>
      <c r="AM256" s="560">
        <f t="shared" si="417"/>
        <v>312.00000000000006</v>
      </c>
      <c r="AN256" s="470">
        <f t="shared" si="418"/>
        <v>350</v>
      </c>
      <c r="AP256">
        <f t="shared" si="419"/>
        <v>312.00000000000006</v>
      </c>
      <c r="AQ256">
        <f t="shared" si="420"/>
        <v>350</v>
      </c>
      <c r="AS256" s="6">
        <f t="shared" si="320"/>
        <v>2.8571428571428572</v>
      </c>
      <c r="AT256" s="6">
        <f t="shared" si="421"/>
        <v>0.29439202887759491</v>
      </c>
      <c r="AU256" s="6">
        <f t="shared" si="393"/>
        <v>2.5627508282652625</v>
      </c>
      <c r="AV256" s="6"/>
      <c r="AW256" s="178">
        <f t="shared" si="394"/>
        <v>0.10303721010715822</v>
      </c>
      <c r="AX256" s="178"/>
      <c r="BA256" s="470">
        <f>L*Isw_max^2/(2*Vout_ripple*Vout)*1000000000*((1+M256)/2)^2</f>
        <v>15.348186929124752</v>
      </c>
      <c r="BB256" s="470">
        <f>L*F256^2/(2*Cout*Vout*Nps^2)*1000000000*((1+M256)/(1-M256))^2+F256*RCoutEsr</f>
        <v>2.4504078014184412</v>
      </c>
      <c r="BC256" s="6">
        <f t="shared" si="392"/>
        <v>0.35625876175717608</v>
      </c>
      <c r="BD256" s="470">
        <f>((BY256/I256/Efficiency)*AU256/Cin+(BY256/I256/Efficiency)*RCinEsr)*1000</f>
        <v>0</v>
      </c>
      <c r="CD256" s="577">
        <f t="shared" si="422"/>
        <v>-50</v>
      </c>
      <c r="CE256">
        <f t="shared" si="423"/>
        <v>-50</v>
      </c>
    </row>
    <row r="257" spans="5:83" x14ac:dyDescent="0.2">
      <c r="E257" s="175">
        <v>40</v>
      </c>
      <c r="F257" s="222">
        <f t="shared" si="424"/>
        <v>0.32000000000000006</v>
      </c>
      <c r="G257" s="222"/>
      <c r="H257" s="222">
        <f t="shared" si="395"/>
        <v>3.8400000000000007</v>
      </c>
      <c r="I257" s="556">
        <f t="shared" si="396"/>
        <v>42</v>
      </c>
      <c r="J257" s="452">
        <f t="shared" si="397"/>
        <v>12.25</v>
      </c>
      <c r="K257" s="452">
        <f t="shared" si="398"/>
        <v>54.25</v>
      </c>
      <c r="L257" s="452"/>
      <c r="M257" s="222">
        <f t="shared" si="399"/>
        <v>0.22580645161290322</v>
      </c>
      <c r="N257" s="177">
        <f t="shared" si="400"/>
        <v>18.469838709677418</v>
      </c>
      <c r="O257" s="177">
        <f t="shared" si="319"/>
        <v>3.8400000000000007</v>
      </c>
      <c r="P257" s="222">
        <f t="shared" si="401"/>
        <v>1.5391532258064515</v>
      </c>
      <c r="Q257" s="222">
        <f t="shared" si="402"/>
        <v>12</v>
      </c>
      <c r="R257" s="222"/>
      <c r="S257" s="177">
        <f t="shared" si="403"/>
        <v>213.65846141729463</v>
      </c>
      <c r="T257" s="177">
        <f t="shared" si="404"/>
        <v>12</v>
      </c>
      <c r="U257" s="222">
        <f t="shared" si="405"/>
        <v>0.85241675617615487</v>
      </c>
      <c r="V257" s="222">
        <f t="shared" si="406"/>
        <v>0.1420694593626925</v>
      </c>
      <c r="W257" s="222">
        <f t="shared" si="407"/>
        <v>0.48709528924351714</v>
      </c>
      <c r="X257" s="202">
        <f t="shared" si="408"/>
        <v>350</v>
      </c>
      <c r="Y257" s="452">
        <f t="shared" si="375"/>
        <v>350</v>
      </c>
      <c r="AA257" s="222">
        <f t="shared" si="409"/>
        <v>3.8709677419354835</v>
      </c>
      <c r="AB257" s="178">
        <f t="shared" si="410"/>
        <v>2.2119815668202762</v>
      </c>
      <c r="AC257" s="178">
        <f t="shared" si="411"/>
        <v>1.4984391259105099</v>
      </c>
      <c r="AD257" s="178"/>
      <c r="AE257" s="178">
        <f t="shared" si="412"/>
        <v>0.46857142857142853</v>
      </c>
      <c r="AF257" s="560">
        <f>MAX(12000,F257/(0.5*AE257/1000000*Isw_min*Nps))/1000</f>
        <v>1665.6751933372998</v>
      </c>
      <c r="AG257" s="543">
        <f t="shared" si="413"/>
        <v>6.723999999999998E-2</v>
      </c>
      <c r="AI257" s="178">
        <f t="shared" si="414"/>
        <v>1.7888543819998322</v>
      </c>
      <c r="AJ257" s="178">
        <f t="shared" si="415"/>
        <v>1.7888543819998322</v>
      </c>
      <c r="AK257" s="178">
        <f t="shared" si="416"/>
        <v>1.9176699125924683</v>
      </c>
      <c r="AM257" s="560">
        <f t="shared" si="417"/>
        <v>320.00000000000006</v>
      </c>
      <c r="AN257" s="470">
        <f t="shared" si="418"/>
        <v>350</v>
      </c>
      <c r="AP257">
        <f t="shared" si="419"/>
        <v>320.00000000000006</v>
      </c>
      <c r="AQ257">
        <f t="shared" si="420"/>
        <v>350</v>
      </c>
      <c r="AS257" s="6">
        <f t="shared" si="320"/>
        <v>2.8571428571428572</v>
      </c>
      <c r="AT257" s="6">
        <f t="shared" si="421"/>
        <v>0.29814239699997208</v>
      </c>
      <c r="AU257" s="6">
        <f t="shared" si="393"/>
        <v>2.5590004601428853</v>
      </c>
      <c r="AV257" s="6"/>
      <c r="AW257" s="178">
        <f t="shared" si="394"/>
        <v>0.10434983894999023</v>
      </c>
      <c r="AX257" s="178"/>
      <c r="BA257" s="470">
        <f>L*Isw_max^2/(2*Vout_ripple*Vout)*1000000000*((1+M257)/2)^2</f>
        <v>15.348186929124752</v>
      </c>
      <c r="BB257" s="470">
        <f>L*F257^2/(2*Cout*Vout*Nps^2)*1000000000*((1+M257)/(1-M257))^2+F257*RCoutEsr</f>
        <v>2.5530654058313642</v>
      </c>
      <c r="BC257" s="6">
        <f t="shared" si="392"/>
        <v>0.36485887930747912</v>
      </c>
      <c r="BD257" s="470">
        <f>((BY257/I257/Efficiency)*AU257/Cin+(BY257/I257/Efficiency)*RCinEsr)*1000</f>
        <v>0</v>
      </c>
      <c r="CD257" s="577">
        <f t="shared" si="422"/>
        <v>-50</v>
      </c>
      <c r="CE257">
        <f t="shared" si="423"/>
        <v>-50</v>
      </c>
    </row>
    <row r="258" spans="5:83" x14ac:dyDescent="0.2">
      <c r="E258" s="175">
        <v>41</v>
      </c>
      <c r="F258" s="222">
        <f t="shared" si="424"/>
        <v>0.32800000000000001</v>
      </c>
      <c r="G258" s="222"/>
      <c r="H258" s="222">
        <f t="shared" si="395"/>
        <v>3.9359999999999999</v>
      </c>
      <c r="I258" s="556">
        <f t="shared" si="396"/>
        <v>42</v>
      </c>
      <c r="J258" s="452">
        <f t="shared" si="397"/>
        <v>12.25</v>
      </c>
      <c r="K258" s="452">
        <f t="shared" si="398"/>
        <v>54.25</v>
      </c>
      <c r="L258" s="452"/>
      <c r="M258" s="222">
        <f t="shared" si="399"/>
        <v>0.22580645161290322</v>
      </c>
      <c r="N258" s="177">
        <f t="shared" si="400"/>
        <v>18.469838709677418</v>
      </c>
      <c r="O258" s="177">
        <f t="shared" si="319"/>
        <v>3.9359999999999999</v>
      </c>
      <c r="P258" s="222">
        <f t="shared" si="401"/>
        <v>1.5391532258064515</v>
      </c>
      <c r="Q258" s="222">
        <f t="shared" si="402"/>
        <v>12</v>
      </c>
      <c r="R258" s="222"/>
      <c r="S258" s="177">
        <f t="shared" si="403"/>
        <v>207.42555963262393</v>
      </c>
      <c r="T258" s="177">
        <f t="shared" si="404"/>
        <v>12</v>
      </c>
      <c r="U258" s="222">
        <f t="shared" si="405"/>
        <v>0.87372717508055853</v>
      </c>
      <c r="V258" s="222">
        <f t="shared" si="406"/>
        <v>0.14562119584675975</v>
      </c>
      <c r="W258" s="222">
        <f t="shared" si="407"/>
        <v>0.49927267147460486</v>
      </c>
      <c r="X258" s="202">
        <f t="shared" si="408"/>
        <v>350</v>
      </c>
      <c r="Y258" s="452">
        <f t="shared" si="375"/>
        <v>350</v>
      </c>
      <c r="AA258" s="222">
        <f t="shared" si="409"/>
        <v>3.8709677419354835</v>
      </c>
      <c r="AB258" s="178">
        <f t="shared" si="410"/>
        <v>2.2119815668202762</v>
      </c>
      <c r="AC258" s="178">
        <f t="shared" si="411"/>
        <v>1.4984391259105099</v>
      </c>
      <c r="AD258" s="178"/>
      <c r="AE258" s="178">
        <f t="shared" si="412"/>
        <v>0.46857142857142853</v>
      </c>
      <c r="AF258" s="560">
        <f>MAX(12000,F258/(0.5*AE258/1000000*Isw_min*Nps))/1000</f>
        <v>1707.3170731707321</v>
      </c>
      <c r="AG258" s="543">
        <f t="shared" si="413"/>
        <v>6.723999999999998E-2</v>
      </c>
      <c r="AI258" s="178">
        <f t="shared" si="414"/>
        <v>1.8110770276274835</v>
      </c>
      <c r="AJ258" s="178">
        <f t="shared" si="415"/>
        <v>1.8110770276274835</v>
      </c>
      <c r="AK258" s="178">
        <f t="shared" si="416"/>
        <v>1.9341311315759135</v>
      </c>
      <c r="AM258" s="560">
        <f t="shared" si="417"/>
        <v>328</v>
      </c>
      <c r="AN258" s="470">
        <f t="shared" si="418"/>
        <v>350</v>
      </c>
      <c r="AP258">
        <f t="shared" si="419"/>
        <v>328</v>
      </c>
      <c r="AQ258">
        <f t="shared" si="420"/>
        <v>350</v>
      </c>
      <c r="AS258" s="6">
        <f t="shared" si="320"/>
        <v>2.8571428571428572</v>
      </c>
      <c r="AT258" s="6">
        <f t="shared" si="421"/>
        <v>0.30184617127124724</v>
      </c>
      <c r="AU258" s="6">
        <f t="shared" si="393"/>
        <v>2.55529668587161</v>
      </c>
      <c r="AV258" s="6"/>
      <c r="AW258" s="178">
        <f t="shared" si="394"/>
        <v>0.10564615994493654</v>
      </c>
      <c r="AX258" s="178"/>
      <c r="BA258" s="470">
        <f>L*Isw_max^2/(2*Vout_ripple*Vout)*1000000000*((1+M258)/2)^2</f>
        <v>15.348186929124752</v>
      </c>
      <c r="BB258" s="470">
        <f>L*F258^2/(2*Cout*Vout*Nps^2)*1000000000*((1+M258)/(1-M258))^2+F258*RCoutEsr</f>
        <v>2.6577143420015767</v>
      </c>
      <c r="BC258" s="6">
        <f t="shared" si="392"/>
        <v>0.37343907010454497</v>
      </c>
      <c r="BD258" s="470">
        <f>((BY258/I258/Efficiency)*AU258/Cin+(BY258/I258/Efficiency)*RCinEsr)*1000</f>
        <v>0</v>
      </c>
      <c r="CD258" s="577">
        <f t="shared" si="422"/>
        <v>-50</v>
      </c>
      <c r="CE258">
        <f t="shared" si="423"/>
        <v>-50</v>
      </c>
    </row>
    <row r="259" spans="5:83" x14ac:dyDescent="0.2">
      <c r="E259" s="175">
        <v>42</v>
      </c>
      <c r="F259" s="222">
        <f t="shared" si="424"/>
        <v>0.33600000000000002</v>
      </c>
      <c r="G259" s="222"/>
      <c r="H259" s="222">
        <f t="shared" si="395"/>
        <v>4.032</v>
      </c>
      <c r="I259" s="556">
        <f t="shared" si="396"/>
        <v>42</v>
      </c>
      <c r="J259" s="452">
        <f t="shared" si="397"/>
        <v>12.25</v>
      </c>
      <c r="K259" s="452">
        <f t="shared" si="398"/>
        <v>54.25</v>
      </c>
      <c r="L259" s="452"/>
      <c r="M259" s="222">
        <f t="shared" si="399"/>
        <v>0.22580645161290322</v>
      </c>
      <c r="N259" s="177">
        <f t="shared" si="400"/>
        <v>18.469838709677418</v>
      </c>
      <c r="O259" s="177">
        <f t="shared" si="319"/>
        <v>4.032</v>
      </c>
      <c r="P259" s="222">
        <f t="shared" si="401"/>
        <v>1.5391532258064515</v>
      </c>
      <c r="Q259" s="222">
        <f t="shared" si="402"/>
        <v>12</v>
      </c>
      <c r="R259" s="222"/>
      <c r="S259" s="177">
        <f t="shared" si="403"/>
        <v>201.48954730624308</v>
      </c>
      <c r="T259" s="177">
        <f t="shared" si="404"/>
        <v>12</v>
      </c>
      <c r="U259" s="222">
        <f t="shared" si="405"/>
        <v>0.89503759398496241</v>
      </c>
      <c r="V259" s="222">
        <f t="shared" si="406"/>
        <v>0.14917293233082707</v>
      </c>
      <c r="W259" s="222">
        <f t="shared" si="407"/>
        <v>0.51145005370569285</v>
      </c>
      <c r="X259" s="202">
        <f t="shared" si="408"/>
        <v>350</v>
      </c>
      <c r="Y259" s="452">
        <f t="shared" si="375"/>
        <v>350</v>
      </c>
      <c r="AA259" s="222">
        <f t="shared" si="409"/>
        <v>3.8709677419354835</v>
      </c>
      <c r="AB259" s="178">
        <f t="shared" si="410"/>
        <v>2.2119815668202762</v>
      </c>
      <c r="AC259" s="178">
        <f t="shared" si="411"/>
        <v>1.4984391259105099</v>
      </c>
      <c r="AD259" s="178"/>
      <c r="AE259" s="178">
        <f t="shared" si="412"/>
        <v>0.46857142857142853</v>
      </c>
      <c r="AF259" s="560">
        <f>MAX(12000,F259/(0.5*AE259/1000000*Isw_min*Nps))/1000</f>
        <v>1748.9589530041646</v>
      </c>
      <c r="AG259" s="543">
        <f t="shared" si="413"/>
        <v>6.723999999999998E-2</v>
      </c>
      <c r="AI259" s="178">
        <f t="shared" si="414"/>
        <v>1.8330302779823362</v>
      </c>
      <c r="AJ259" s="178">
        <f t="shared" si="415"/>
        <v>1.8330302779823362</v>
      </c>
      <c r="AK259" s="178">
        <f t="shared" si="416"/>
        <v>1.9503927985054343</v>
      </c>
      <c r="AM259" s="560">
        <f t="shared" si="417"/>
        <v>336</v>
      </c>
      <c r="AN259" s="470">
        <f t="shared" si="418"/>
        <v>350</v>
      </c>
      <c r="AP259">
        <f t="shared" si="419"/>
        <v>336</v>
      </c>
      <c r="AQ259">
        <f t="shared" si="420"/>
        <v>350</v>
      </c>
      <c r="AS259" s="6">
        <f t="shared" si="320"/>
        <v>2.8571428571428572</v>
      </c>
      <c r="AT259" s="6">
        <f t="shared" si="421"/>
        <v>0.30550504633038933</v>
      </c>
      <c r="AU259" s="6">
        <f t="shared" si="393"/>
        <v>2.5516378108124678</v>
      </c>
      <c r="AV259" s="6"/>
      <c r="AW259" s="178">
        <f t="shared" si="394"/>
        <v>0.10692676621563627</v>
      </c>
      <c r="AX259" s="178"/>
      <c r="BA259" s="470">
        <f>L*Isw_max^2/(2*Vout_ripple*Vout)*1000000000*((1+M259)/2)^2</f>
        <v>15.348186929124752</v>
      </c>
      <c r="BB259" s="470">
        <f>L*F259^2/(2*Cout*Vout*Nps^2)*1000000000*((1+M259)/(1-M259))^2+F259*RCoutEsr</f>
        <v>2.7643546099290788</v>
      </c>
      <c r="BC259" s="6">
        <f t="shared" si="392"/>
        <v>0.38199957869473206</v>
      </c>
      <c r="BD259" s="470">
        <f>((BY259/I259/Efficiency)*AU259/Cin+(BY259/I259/Efficiency)*RCinEsr)*1000</f>
        <v>0</v>
      </c>
      <c r="CD259" s="577">
        <f t="shared" si="422"/>
        <v>-50</v>
      </c>
      <c r="CE259">
        <f t="shared" si="423"/>
        <v>-50</v>
      </c>
    </row>
    <row r="260" spans="5:83" x14ac:dyDescent="0.2">
      <c r="E260" s="175">
        <v>43</v>
      </c>
      <c r="F260" s="222">
        <f t="shared" si="424"/>
        <v>0.34400000000000003</v>
      </c>
      <c r="G260" s="222"/>
      <c r="H260" s="222">
        <f t="shared" si="395"/>
        <v>4.1280000000000001</v>
      </c>
      <c r="I260" s="556">
        <f t="shared" si="396"/>
        <v>42</v>
      </c>
      <c r="J260" s="452">
        <f t="shared" si="397"/>
        <v>12.25</v>
      </c>
      <c r="K260" s="452">
        <f t="shared" si="398"/>
        <v>54.25</v>
      </c>
      <c r="L260" s="452"/>
      <c r="M260" s="222">
        <f t="shared" si="399"/>
        <v>0.22580645161290322</v>
      </c>
      <c r="N260" s="177">
        <f t="shared" si="400"/>
        <v>18.469838709677418</v>
      </c>
      <c r="O260" s="177">
        <f t="shared" si="319"/>
        <v>4.1280000000000001</v>
      </c>
      <c r="P260" s="222">
        <f t="shared" si="401"/>
        <v>1.5391532258064515</v>
      </c>
      <c r="Q260" s="222">
        <f t="shared" si="402"/>
        <v>12</v>
      </c>
      <c r="R260" s="222"/>
      <c r="S260" s="177">
        <f t="shared" si="403"/>
        <v>195.82971244083379</v>
      </c>
      <c r="T260" s="177">
        <f t="shared" si="404"/>
        <v>12</v>
      </c>
      <c r="U260" s="222">
        <f t="shared" si="405"/>
        <v>0.91634801288936629</v>
      </c>
      <c r="V260" s="222">
        <f t="shared" si="406"/>
        <v>0.15272466881489441</v>
      </c>
      <c r="W260" s="222">
        <f t="shared" si="407"/>
        <v>0.52362743593678085</v>
      </c>
      <c r="X260" s="202">
        <f t="shared" si="408"/>
        <v>350</v>
      </c>
      <c r="Y260" s="452">
        <f t="shared" si="375"/>
        <v>350</v>
      </c>
      <c r="AA260" s="222">
        <f t="shared" si="409"/>
        <v>3.8709677419354835</v>
      </c>
      <c r="AB260" s="178">
        <f t="shared" si="410"/>
        <v>2.2119815668202762</v>
      </c>
      <c r="AC260" s="178">
        <f t="shared" si="411"/>
        <v>1.4984391259105099</v>
      </c>
      <c r="AD260" s="178"/>
      <c r="AE260" s="178">
        <f t="shared" si="412"/>
        <v>0.46857142857142853</v>
      </c>
      <c r="AF260" s="560">
        <f>MAX(12000,F260/(0.5*AE260/1000000*Isw_min*Nps))/1000</f>
        <v>1790.6008328375972</v>
      </c>
      <c r="AG260" s="543">
        <f t="shared" si="413"/>
        <v>6.723999999999998E-2</v>
      </c>
      <c r="AI260" s="178">
        <f t="shared" si="414"/>
        <v>1.8547236990991409</v>
      </c>
      <c r="AJ260" s="178">
        <f t="shared" si="415"/>
        <v>1.8547236990991409</v>
      </c>
      <c r="AK260" s="178">
        <f t="shared" si="416"/>
        <v>1.9664619993326968</v>
      </c>
      <c r="AM260" s="560">
        <f t="shared" si="417"/>
        <v>344</v>
      </c>
      <c r="AN260" s="470">
        <f t="shared" si="418"/>
        <v>350</v>
      </c>
      <c r="AP260">
        <f t="shared" si="419"/>
        <v>344</v>
      </c>
      <c r="AQ260">
        <f t="shared" si="420"/>
        <v>350</v>
      </c>
      <c r="AS260" s="6">
        <f t="shared" si="320"/>
        <v>2.8571428571428572</v>
      </c>
      <c r="AT260" s="6">
        <f t="shared" si="421"/>
        <v>0.30912061651652351</v>
      </c>
      <c r="AU260" s="6">
        <f t="shared" si="393"/>
        <v>2.5480222406263335</v>
      </c>
      <c r="AV260" s="6"/>
      <c r="AW260" s="178">
        <f t="shared" si="394"/>
        <v>0.10819221578078322</v>
      </c>
      <c r="AX260" s="178"/>
      <c r="BA260" s="470">
        <f>L*Isw_max^2/(2*Vout_ripple*Vout)*1000000000*((1+M260)/2)^2</f>
        <v>15.348186929124752</v>
      </c>
      <c r="BB260" s="470">
        <f>L*F260^2/(2*Cout*Vout*Nps^2)*1000000000*((1+M260)/(1-M260))^2+F260*RCoutEsr</f>
        <v>2.8729862096138703</v>
      </c>
      <c r="BC260" s="6">
        <f t="shared" si="392"/>
        <v>0.39054064083562628</v>
      </c>
      <c r="BD260" s="470">
        <f>((BY260/I260/Efficiency)*AU260/Cin+(BY260/I260/Efficiency)*RCinEsr)*1000</f>
        <v>0</v>
      </c>
      <c r="CD260" s="577">
        <f t="shared" si="422"/>
        <v>-50</v>
      </c>
      <c r="CE260">
        <f t="shared" si="423"/>
        <v>-50</v>
      </c>
    </row>
    <row r="261" spans="5:83" x14ac:dyDescent="0.2">
      <c r="E261" s="175">
        <v>44</v>
      </c>
      <c r="F261" s="222">
        <f t="shared" si="424"/>
        <v>0.35200000000000004</v>
      </c>
      <c r="G261" s="222"/>
      <c r="H261" s="222">
        <f t="shared" si="395"/>
        <v>4.2240000000000002</v>
      </c>
      <c r="I261" s="556">
        <f t="shared" si="396"/>
        <v>42</v>
      </c>
      <c r="J261" s="452">
        <f t="shared" si="397"/>
        <v>12.25</v>
      </c>
      <c r="K261" s="452">
        <f t="shared" si="398"/>
        <v>54.25</v>
      </c>
      <c r="L261" s="452"/>
      <c r="M261" s="222">
        <f t="shared" si="399"/>
        <v>0.22580645161290322</v>
      </c>
      <c r="N261" s="177">
        <f t="shared" si="400"/>
        <v>18.469838709677418</v>
      </c>
      <c r="O261" s="177">
        <f t="shared" si="319"/>
        <v>4.2240000000000002</v>
      </c>
      <c r="P261" s="222">
        <f t="shared" si="401"/>
        <v>1.5391532258064515</v>
      </c>
      <c r="Q261" s="222">
        <f t="shared" si="402"/>
        <v>12</v>
      </c>
      <c r="R261" s="222"/>
      <c r="S261" s="177">
        <f t="shared" si="403"/>
        <v>190.4272259713218</v>
      </c>
      <c r="T261" s="177">
        <f t="shared" si="404"/>
        <v>12</v>
      </c>
      <c r="U261" s="222">
        <f t="shared" si="405"/>
        <v>0.93765843179377018</v>
      </c>
      <c r="V261" s="222">
        <f t="shared" si="406"/>
        <v>0.15627640529896172</v>
      </c>
      <c r="W261" s="222">
        <f t="shared" si="407"/>
        <v>0.53580481816786873</v>
      </c>
      <c r="X261" s="202">
        <f t="shared" si="408"/>
        <v>350</v>
      </c>
      <c r="Y261" s="452">
        <f t="shared" si="375"/>
        <v>350</v>
      </c>
      <c r="AA261" s="222">
        <f t="shared" si="409"/>
        <v>3.8709677419354835</v>
      </c>
      <c r="AB261" s="178">
        <f t="shared" si="410"/>
        <v>2.2119815668202762</v>
      </c>
      <c r="AC261" s="178">
        <f t="shared" si="411"/>
        <v>1.4984391259105099</v>
      </c>
      <c r="AD261" s="178"/>
      <c r="AE261" s="178">
        <f t="shared" si="412"/>
        <v>0.46857142857142853</v>
      </c>
      <c r="AF261" s="560">
        <f>MAX(12000,F261/(0.5*AE261/1000000*Isw_min*Nps))/1000</f>
        <v>1832.2427126710297</v>
      </c>
      <c r="AG261" s="543">
        <f t="shared" si="413"/>
        <v>6.723999999999998E-2</v>
      </c>
      <c r="AI261" s="178">
        <f t="shared" si="414"/>
        <v>1.8761663039293719</v>
      </c>
      <c r="AJ261" s="178">
        <f t="shared" si="415"/>
        <v>1.8761663039293719</v>
      </c>
      <c r="AK261" s="178">
        <f t="shared" si="416"/>
        <v>1.9823454103180533</v>
      </c>
      <c r="AM261" s="560">
        <f t="shared" si="417"/>
        <v>352.00000000000006</v>
      </c>
      <c r="AN261" s="470">
        <f t="shared" si="418"/>
        <v>350</v>
      </c>
      <c r="AP261">
        <f t="shared" si="419"/>
        <v>352.00000000000006</v>
      </c>
      <c r="AQ261">
        <f t="shared" si="420"/>
        <v>350</v>
      </c>
      <c r="AS261" s="6">
        <f t="shared" si="320"/>
        <v>2.8571428571428572</v>
      </c>
      <c r="AT261" s="6">
        <f t="shared" si="421"/>
        <v>0.31269438398822863</v>
      </c>
      <c r="AU261" s="6">
        <f t="shared" si="393"/>
        <v>2.5444484731546284</v>
      </c>
      <c r="AV261" s="6"/>
      <c r="AW261" s="178">
        <f t="shared" si="394"/>
        <v>0.10944303439588002</v>
      </c>
      <c r="AX261" s="178"/>
      <c r="BA261" s="470">
        <f>L*Isw_max^2/(2*Vout_ripple*Vout)*1000000000*((1+M261)/2)^2</f>
        <v>15.348186929124752</v>
      </c>
      <c r="BB261" s="470">
        <f>L*F261^2/(2*Cout*Vout*Nps^2)*1000000000*((1+M261)/(1-M261))^2+F261*RCoutEsr</f>
        <v>2.9836091410559504</v>
      </c>
      <c r="BC261" s="6">
        <f t="shared" si="392"/>
        <v>0.39906248401021632</v>
      </c>
      <c r="BD261" s="470">
        <f>((BY261/I261/Efficiency)*AU261/Cin+(BY261/I261/Efficiency)*RCinEsr)*1000</f>
        <v>0</v>
      </c>
      <c r="CD261" s="577">
        <f t="shared" si="422"/>
        <v>-50</v>
      </c>
      <c r="CE261">
        <f t="shared" si="423"/>
        <v>-50</v>
      </c>
    </row>
    <row r="262" spans="5:83" x14ac:dyDescent="0.2">
      <c r="E262" s="175">
        <v>45</v>
      </c>
      <c r="F262" s="222">
        <f t="shared" si="424"/>
        <v>0.36000000000000004</v>
      </c>
      <c r="G262" s="222"/>
      <c r="H262" s="222">
        <f t="shared" si="395"/>
        <v>4.32</v>
      </c>
      <c r="I262" s="556">
        <f t="shared" si="396"/>
        <v>42</v>
      </c>
      <c r="J262" s="452">
        <f t="shared" si="397"/>
        <v>12.25</v>
      </c>
      <c r="K262" s="452">
        <f t="shared" si="398"/>
        <v>54.25</v>
      </c>
      <c r="L262" s="452"/>
      <c r="M262" s="222">
        <f t="shared" si="399"/>
        <v>0.22580645161290322</v>
      </c>
      <c r="N262" s="177">
        <f t="shared" si="400"/>
        <v>18.469838709677418</v>
      </c>
      <c r="O262" s="177">
        <f t="shared" si="319"/>
        <v>4.32</v>
      </c>
      <c r="P262" s="222">
        <f t="shared" si="401"/>
        <v>1.5391532258064515</v>
      </c>
      <c r="Q262" s="222">
        <f t="shared" si="402"/>
        <v>12</v>
      </c>
      <c r="R262" s="222"/>
      <c r="S262" s="177">
        <f t="shared" si="403"/>
        <v>185.26493255074197</v>
      </c>
      <c r="T262" s="177">
        <f t="shared" si="404"/>
        <v>12</v>
      </c>
      <c r="U262" s="222">
        <f t="shared" si="405"/>
        <v>0.95896885069817406</v>
      </c>
      <c r="V262" s="222">
        <f t="shared" si="406"/>
        <v>0.15982814178302901</v>
      </c>
      <c r="W262" s="222">
        <f t="shared" si="407"/>
        <v>0.54798220039895662</v>
      </c>
      <c r="X262" s="202">
        <f t="shared" si="408"/>
        <v>350</v>
      </c>
      <c r="Y262" s="452">
        <f t="shared" si="375"/>
        <v>350</v>
      </c>
      <c r="AA262" s="222">
        <f t="shared" si="409"/>
        <v>3.8709677419354835</v>
      </c>
      <c r="AB262" s="178">
        <f t="shared" si="410"/>
        <v>2.2119815668202762</v>
      </c>
      <c r="AC262" s="178">
        <f t="shared" si="411"/>
        <v>1.4984391259105099</v>
      </c>
      <c r="AD262" s="178"/>
      <c r="AE262" s="178">
        <f t="shared" si="412"/>
        <v>0.46857142857142853</v>
      </c>
      <c r="AF262" s="560">
        <f>MAX(12000,F262/(0.5*AE262/1000000*Isw_min*Nps))/1000</f>
        <v>1873.8845925044623</v>
      </c>
      <c r="AG262" s="543">
        <f t="shared" si="413"/>
        <v>6.723999999999998E-2</v>
      </c>
      <c r="AI262" s="178">
        <f t="shared" si="414"/>
        <v>1.8973665961010278</v>
      </c>
      <c r="AJ262" s="178">
        <f t="shared" si="415"/>
        <v>1.8973665961010278</v>
      </c>
      <c r="AK262" s="178">
        <f t="shared" si="416"/>
        <v>1.9980493304452056</v>
      </c>
      <c r="AM262" s="560">
        <f t="shared" si="417"/>
        <v>360.00000000000006</v>
      </c>
      <c r="AN262" s="470">
        <f t="shared" si="418"/>
        <v>350</v>
      </c>
      <c r="AP262">
        <f t="shared" si="419"/>
        <v>360.00000000000006</v>
      </c>
      <c r="AQ262">
        <f t="shared" si="420"/>
        <v>350</v>
      </c>
      <c r="AS262" s="6">
        <f t="shared" si="320"/>
        <v>2.8571428571428572</v>
      </c>
      <c r="AT262" s="6">
        <f t="shared" si="421"/>
        <v>0.316227766016838</v>
      </c>
      <c r="AU262" s="6">
        <f t="shared" si="393"/>
        <v>2.5409150911260192</v>
      </c>
      <c r="AV262" s="6"/>
      <c r="AW262" s="178">
        <f t="shared" si="394"/>
        <v>0.11067971810589329</v>
      </c>
      <c r="AX262" s="178"/>
      <c r="BA262" s="470">
        <f>L*Isw_max^2/(2*Vout_ripple*Vout)*1000000000*((1+M262)/2)^2</f>
        <v>15.348186929124752</v>
      </c>
      <c r="BB262" s="470">
        <f>L*F262^2/(2*Cout*Vout*Nps^2)*1000000000*((1+M262)/(1-M262))^2+F262*RCoutEsr</f>
        <v>3.0962234042553201</v>
      </c>
      <c r="BC262" s="6">
        <f t="shared" si="392"/>
        <v>0.4075653278999129</v>
      </c>
      <c r="BD262" s="470">
        <f>((BY262/I262/Efficiency)*AU262/Cin+(BY262/I262/Efficiency)*RCinEsr)*1000</f>
        <v>0</v>
      </c>
      <c r="CD262" s="577">
        <f t="shared" si="422"/>
        <v>-50</v>
      </c>
      <c r="CE262">
        <f t="shared" si="423"/>
        <v>-50</v>
      </c>
    </row>
    <row r="263" spans="5:83" x14ac:dyDescent="0.2">
      <c r="E263" s="175">
        <v>46</v>
      </c>
      <c r="F263" s="222">
        <f t="shared" si="424"/>
        <v>0.36800000000000005</v>
      </c>
      <c r="G263" s="222"/>
      <c r="H263" s="222">
        <f t="shared" si="395"/>
        <v>4.4160000000000004</v>
      </c>
      <c r="I263" s="556">
        <f t="shared" si="396"/>
        <v>42</v>
      </c>
      <c r="J263" s="452">
        <f t="shared" si="397"/>
        <v>12.25</v>
      </c>
      <c r="K263" s="452">
        <f t="shared" si="398"/>
        <v>54.25</v>
      </c>
      <c r="L263" s="452"/>
      <c r="M263" s="222">
        <f t="shared" si="399"/>
        <v>0.22580645161290322</v>
      </c>
      <c r="N263" s="177">
        <f t="shared" si="400"/>
        <v>18.469838709677418</v>
      </c>
      <c r="O263" s="177">
        <f t="shared" ref="O263:O317" si="425">T263*F263</f>
        <v>4.4160000000000004</v>
      </c>
      <c r="P263" s="222">
        <f t="shared" si="401"/>
        <v>1.5391532258064515</v>
      </c>
      <c r="Q263" s="222">
        <f t="shared" si="402"/>
        <v>12</v>
      </c>
      <c r="R263" s="222"/>
      <c r="S263" s="177">
        <f t="shared" si="403"/>
        <v>180.32716862491864</v>
      </c>
      <c r="T263" s="177">
        <f t="shared" si="404"/>
        <v>12</v>
      </c>
      <c r="U263" s="222">
        <f t="shared" si="405"/>
        <v>0.98027926960257794</v>
      </c>
      <c r="V263" s="222">
        <f t="shared" si="406"/>
        <v>0.16337987826709632</v>
      </c>
      <c r="W263" s="222">
        <f t="shared" si="407"/>
        <v>0.56015958263004462</v>
      </c>
      <c r="X263" s="202">
        <f t="shared" si="408"/>
        <v>350</v>
      </c>
      <c r="Y263" s="452">
        <f t="shared" si="375"/>
        <v>350</v>
      </c>
      <c r="AA263" s="222">
        <f t="shared" si="409"/>
        <v>3.8709677419354835</v>
      </c>
      <c r="AB263" s="178">
        <f t="shared" si="410"/>
        <v>2.2119815668202762</v>
      </c>
      <c r="AC263" s="178">
        <f t="shared" si="411"/>
        <v>1.4984391259105099</v>
      </c>
      <c r="AD263" s="178"/>
      <c r="AE263" s="178">
        <f t="shared" si="412"/>
        <v>0.46857142857142853</v>
      </c>
      <c r="AF263" s="560">
        <f>MAX(12000,F263/(0.5*AE263/1000000*Isw_min*Nps))/1000</f>
        <v>1915.5264723378948</v>
      </c>
      <c r="AG263" s="543">
        <f t="shared" si="413"/>
        <v>6.723999999999998E-2</v>
      </c>
      <c r="AI263" s="178">
        <f t="shared" si="414"/>
        <v>1.9183326093250879</v>
      </c>
      <c r="AJ263" s="178">
        <f t="shared" si="415"/>
        <v>1.9183326093250879</v>
      </c>
      <c r="AK263" s="178">
        <f t="shared" si="416"/>
        <v>2.0135797106111761</v>
      </c>
      <c r="AM263" s="560">
        <f t="shared" si="417"/>
        <v>368.00000000000006</v>
      </c>
      <c r="AN263" s="470">
        <f t="shared" si="418"/>
        <v>350</v>
      </c>
      <c r="AP263">
        <f t="shared" si="419"/>
        <v>368.00000000000006</v>
      </c>
      <c r="AQ263">
        <f t="shared" si="420"/>
        <v>350</v>
      </c>
      <c r="AS263" s="6">
        <f t="shared" si="320"/>
        <v>2.8571428571428572</v>
      </c>
      <c r="AT263" s="6">
        <f t="shared" si="421"/>
        <v>0.31972210155418129</v>
      </c>
      <c r="AU263" s="6">
        <f t="shared" si="393"/>
        <v>2.5374207555886761</v>
      </c>
      <c r="AV263" s="6"/>
      <c r="AW263" s="178">
        <f t="shared" si="394"/>
        <v>0.11190273554396345</v>
      </c>
      <c r="AX263" s="178"/>
      <c r="BA263" s="470">
        <f>L*Isw_max^2/(2*Vout_ripple*Vout)*1000000000*((1+M263)/2)^2</f>
        <v>15.348186929124752</v>
      </c>
      <c r="BB263" s="470">
        <f>L*F263^2/(2*Cout*Vout*Nps^2)*1000000000*((1+M263)/(1-M263))^2+F263*RCoutEsr</f>
        <v>3.2108289992119792</v>
      </c>
      <c r="BC263" s="6">
        <f t="shared" si="392"/>
        <v>0.41604938482055487</v>
      </c>
      <c r="BD263" s="470">
        <f>((BY263/I263/Efficiency)*AU263/Cin+(BY263/I263/Efficiency)*RCinEsr)*1000</f>
        <v>0</v>
      </c>
      <c r="CD263" s="577">
        <f t="shared" si="422"/>
        <v>-50</v>
      </c>
      <c r="CE263">
        <f t="shared" si="423"/>
        <v>-50</v>
      </c>
    </row>
    <row r="264" spans="5:83" x14ac:dyDescent="0.2">
      <c r="E264" s="175">
        <v>47</v>
      </c>
      <c r="F264" s="222">
        <f t="shared" si="424"/>
        <v>0.376</v>
      </c>
      <c r="G264" s="222"/>
      <c r="H264" s="222">
        <f t="shared" si="395"/>
        <v>4.5120000000000005</v>
      </c>
      <c r="I264" s="556">
        <f t="shared" si="396"/>
        <v>42</v>
      </c>
      <c r="J264" s="452">
        <f t="shared" si="397"/>
        <v>12.25</v>
      </c>
      <c r="K264" s="452">
        <f t="shared" si="398"/>
        <v>54.25</v>
      </c>
      <c r="L264" s="452"/>
      <c r="M264" s="222">
        <f t="shared" si="399"/>
        <v>0.22580645161290322</v>
      </c>
      <c r="N264" s="177">
        <f t="shared" si="400"/>
        <v>18.469838709677418</v>
      </c>
      <c r="O264" s="177">
        <f t="shared" si="425"/>
        <v>4.5120000000000005</v>
      </c>
      <c r="P264" s="222">
        <f t="shared" si="401"/>
        <v>1.5391532258064515</v>
      </c>
      <c r="Q264" s="222">
        <f t="shared" si="402"/>
        <v>12</v>
      </c>
      <c r="R264" s="222"/>
      <c r="S264" s="177">
        <f t="shared" si="403"/>
        <v>175.59960373167141</v>
      </c>
      <c r="T264" s="177">
        <f t="shared" si="404"/>
        <v>12</v>
      </c>
      <c r="U264" s="222">
        <f t="shared" si="405"/>
        <v>1.0015896885069819</v>
      </c>
      <c r="V264" s="222">
        <f t="shared" si="406"/>
        <v>0.16693161475116366</v>
      </c>
      <c r="W264" s="222">
        <f t="shared" si="407"/>
        <v>0.57233696486113261</v>
      </c>
      <c r="X264" s="202">
        <f t="shared" si="408"/>
        <v>350</v>
      </c>
      <c r="Y264" s="452">
        <f t="shared" si="375"/>
        <v>350</v>
      </c>
      <c r="AA264" s="222">
        <f t="shared" si="409"/>
        <v>3.8709677419354835</v>
      </c>
      <c r="AB264" s="178">
        <f t="shared" si="410"/>
        <v>2.2119815668202762</v>
      </c>
      <c r="AC264" s="178">
        <f t="shared" si="411"/>
        <v>1.4984391259105099</v>
      </c>
      <c r="AD264" s="178"/>
      <c r="AE264" s="178">
        <f t="shared" si="412"/>
        <v>0.46857142857142853</v>
      </c>
      <c r="AF264" s="560">
        <f>MAX(12000,F264/(0.5*AE264/1000000*Isw_min*Nps))/1000</f>
        <v>1957.1683521713269</v>
      </c>
      <c r="AG264" s="543">
        <f t="shared" si="413"/>
        <v>6.723999999999998E-2</v>
      </c>
      <c r="AI264" s="178">
        <f t="shared" si="414"/>
        <v>1.9390719429665317</v>
      </c>
      <c r="AJ264" s="178">
        <f t="shared" si="415"/>
        <v>1.9390719429665317</v>
      </c>
      <c r="AK264" s="178">
        <f t="shared" si="416"/>
        <v>2.0289421799752088</v>
      </c>
      <c r="AM264" s="560">
        <f t="shared" si="417"/>
        <v>376</v>
      </c>
      <c r="AN264" s="470">
        <f t="shared" si="418"/>
        <v>350</v>
      </c>
      <c r="AP264">
        <f t="shared" si="419"/>
        <v>376</v>
      </c>
      <c r="AQ264">
        <f t="shared" si="420"/>
        <v>350</v>
      </c>
      <c r="AS264" s="6">
        <f t="shared" ref="AS264:AS317" si="426">1/AN264*1000</f>
        <v>2.8571428571428572</v>
      </c>
      <c r="AT264" s="6">
        <f t="shared" si="421"/>
        <v>0.32317865716108862</v>
      </c>
      <c r="AU264" s="6">
        <f t="shared" si="393"/>
        <v>2.5339641999817686</v>
      </c>
      <c r="AV264" s="6"/>
      <c r="AW264" s="178">
        <f t="shared" si="394"/>
        <v>0.11311253000638101</v>
      </c>
      <c r="AX264" s="178"/>
      <c r="BA264" s="470">
        <f>L*Isw_max^2/(2*Vout_ripple*Vout)*1000000000*((1+M264)/2)^2</f>
        <v>15.348186929124752</v>
      </c>
      <c r="BB264" s="470">
        <f>L*F264^2/(2*Cout*Vout*Nps^2)*1000000000*((1+M264)/(1-M264))^2+F264*RCoutEsr</f>
        <v>3.3274259259259269</v>
      </c>
      <c r="BC264" s="6">
        <f t="shared" si="392"/>
        <v>0.4245148601250438</v>
      </c>
      <c r="BD264" s="470">
        <f>((BY264/I264/Efficiency)*AU264/Cin+(BY264/I264/Efficiency)*RCinEsr)*1000</f>
        <v>0</v>
      </c>
      <c r="CD264" s="577">
        <f t="shared" si="422"/>
        <v>-50</v>
      </c>
      <c r="CE264">
        <f t="shared" si="423"/>
        <v>-50</v>
      </c>
    </row>
    <row r="265" spans="5:83" x14ac:dyDescent="0.2">
      <c r="E265" s="175">
        <v>48</v>
      </c>
      <c r="F265" s="222">
        <f t="shared" si="424"/>
        <v>0.38400000000000001</v>
      </c>
      <c r="G265" s="222"/>
      <c r="H265" s="222">
        <f t="shared" si="395"/>
        <v>4.6080000000000005</v>
      </c>
      <c r="I265" s="556">
        <f t="shared" si="396"/>
        <v>42</v>
      </c>
      <c r="J265" s="452">
        <f t="shared" si="397"/>
        <v>12.25</v>
      </c>
      <c r="K265" s="452">
        <f t="shared" si="398"/>
        <v>54.25</v>
      </c>
      <c r="L265" s="452"/>
      <c r="M265" s="222">
        <f t="shared" si="399"/>
        <v>0.22580645161290322</v>
      </c>
      <c r="N265" s="177">
        <f t="shared" si="400"/>
        <v>18.469838709677418</v>
      </c>
      <c r="O265" s="177">
        <f t="shared" si="425"/>
        <v>4.6080000000000005</v>
      </c>
      <c r="P265" s="222">
        <f t="shared" si="401"/>
        <v>1.5391532258064515</v>
      </c>
      <c r="Q265" s="222">
        <f t="shared" si="402"/>
        <v>12</v>
      </c>
      <c r="R265" s="222"/>
      <c r="S265" s="177">
        <f t="shared" si="403"/>
        <v>171.06910163763627</v>
      </c>
      <c r="T265" s="177">
        <f t="shared" si="404"/>
        <v>12</v>
      </c>
      <c r="U265" s="222">
        <f t="shared" si="405"/>
        <v>1.0229001074113857</v>
      </c>
      <c r="V265" s="222">
        <f t="shared" si="406"/>
        <v>0.17048335123523095</v>
      </c>
      <c r="W265" s="222">
        <f t="shared" si="407"/>
        <v>0.58451434709222039</v>
      </c>
      <c r="X265" s="202">
        <f t="shared" si="408"/>
        <v>350</v>
      </c>
      <c r="Y265" s="452">
        <f t="shared" si="375"/>
        <v>350</v>
      </c>
      <c r="AA265" s="222">
        <f t="shared" si="409"/>
        <v>3.8709677419354835</v>
      </c>
      <c r="AB265" s="178">
        <f t="shared" si="410"/>
        <v>2.2119815668202762</v>
      </c>
      <c r="AC265" s="178">
        <f t="shared" si="411"/>
        <v>1.4984391259105099</v>
      </c>
      <c r="AD265" s="178"/>
      <c r="AE265" s="178">
        <f t="shared" si="412"/>
        <v>0.46857142857142853</v>
      </c>
      <c r="AF265" s="560">
        <f>MAX(12000,F265/(0.5*AE265/1000000*Isw_min*Nps))/1000</f>
        <v>1998.8102320047597</v>
      </c>
      <c r="AG265" s="543">
        <f t="shared" si="413"/>
        <v>6.723999999999998E-2</v>
      </c>
      <c r="AI265" s="178">
        <f t="shared" si="414"/>
        <v>1.9595917942265426</v>
      </c>
      <c r="AJ265" s="178">
        <f t="shared" si="415"/>
        <v>1.9595917942265426</v>
      </c>
      <c r="AK265" s="178">
        <f t="shared" si="416"/>
        <v>2.0441420697974388</v>
      </c>
      <c r="AM265" s="560">
        <f t="shared" si="417"/>
        <v>384</v>
      </c>
      <c r="AN265" s="470">
        <f t="shared" si="418"/>
        <v>350</v>
      </c>
      <c r="AP265">
        <f t="shared" si="419"/>
        <v>384</v>
      </c>
      <c r="AQ265">
        <f t="shared" si="420"/>
        <v>350</v>
      </c>
      <c r="AS265" s="6">
        <f t="shared" si="426"/>
        <v>2.8571428571428572</v>
      </c>
      <c r="AT265" s="6">
        <f t="shared" si="421"/>
        <v>0.32659863237109049</v>
      </c>
      <c r="AU265" s="6">
        <f t="shared" si="393"/>
        <v>2.5305442247717669</v>
      </c>
      <c r="AV265" s="6"/>
      <c r="AW265" s="178">
        <f t="shared" si="394"/>
        <v>0.11430952132988167</v>
      </c>
      <c r="AX265" s="178"/>
      <c r="BA265" s="470">
        <f>L*Isw_max^2/(2*Vout_ripple*Vout)*1000000000*((1+M265)/2)^2</f>
        <v>15.348186929124752</v>
      </c>
      <c r="BB265" s="470">
        <f>L*F265^2/(2*Cout*Vout*Nps^2)*1000000000*((1+M265)/(1-M265))^2+F265*RCoutEsr</f>
        <v>3.4460141843971641</v>
      </c>
      <c r="BC265" s="6">
        <f t="shared" si="392"/>
        <v>0.43296195257582115</v>
      </c>
      <c r="BD265" s="470">
        <f>((BY265/I265/Efficiency)*AU265/Cin+(BY265/I265/Efficiency)*RCinEsr)*1000</f>
        <v>0</v>
      </c>
      <c r="CD265" s="577">
        <f t="shared" si="422"/>
        <v>-50</v>
      </c>
      <c r="CE265">
        <f t="shared" si="423"/>
        <v>-50</v>
      </c>
    </row>
    <row r="266" spans="5:83" x14ac:dyDescent="0.2">
      <c r="E266" s="175">
        <v>49</v>
      </c>
      <c r="F266" s="222">
        <f t="shared" si="424"/>
        <v>0.39200000000000002</v>
      </c>
      <c r="G266" s="222"/>
      <c r="H266" s="222">
        <f t="shared" si="395"/>
        <v>4.7040000000000006</v>
      </c>
      <c r="I266" s="556">
        <f t="shared" si="396"/>
        <v>42</v>
      </c>
      <c r="J266" s="452">
        <f t="shared" si="397"/>
        <v>12.25</v>
      </c>
      <c r="K266" s="452">
        <f t="shared" si="398"/>
        <v>54.25</v>
      </c>
      <c r="L266" s="452"/>
      <c r="M266" s="222">
        <f t="shared" si="399"/>
        <v>0.22580645161290322</v>
      </c>
      <c r="N266" s="177">
        <f t="shared" si="400"/>
        <v>18.469838709677418</v>
      </c>
      <c r="O266" s="177">
        <f t="shared" si="425"/>
        <v>4.7040000000000006</v>
      </c>
      <c r="P266" s="222">
        <f t="shared" si="401"/>
        <v>1.5391532258064515</v>
      </c>
      <c r="Q266" s="222">
        <f t="shared" si="402"/>
        <v>12</v>
      </c>
      <c r="R266" s="222"/>
      <c r="S266" s="177">
        <f t="shared" si="403"/>
        <v>166.72359847875833</v>
      </c>
      <c r="T266" s="177">
        <f t="shared" si="404"/>
        <v>12</v>
      </c>
      <c r="U266" s="222">
        <f t="shared" si="405"/>
        <v>1.0442105263157897</v>
      </c>
      <c r="V266" s="222">
        <f t="shared" si="406"/>
        <v>0.17403508771929826</v>
      </c>
      <c r="W266" s="222">
        <f t="shared" si="407"/>
        <v>0.59669172932330838</v>
      </c>
      <c r="X266" s="202">
        <f t="shared" si="408"/>
        <v>350</v>
      </c>
      <c r="Y266" s="452">
        <f t="shared" si="375"/>
        <v>350</v>
      </c>
      <c r="AA266" s="222">
        <f t="shared" si="409"/>
        <v>3.8709677419354835</v>
      </c>
      <c r="AB266" s="178">
        <f t="shared" si="410"/>
        <v>2.2119815668202762</v>
      </c>
      <c r="AC266" s="178">
        <f t="shared" si="411"/>
        <v>1.4984391259105099</v>
      </c>
      <c r="AD266" s="178"/>
      <c r="AE266" s="178">
        <f t="shared" si="412"/>
        <v>0.46857142857142853</v>
      </c>
      <c r="AF266" s="560">
        <f>MAX(12000,F266/(0.5*AE266/1000000*Isw_min*Nps))/1000</f>
        <v>2040.452111838192</v>
      </c>
      <c r="AG266" s="543">
        <f t="shared" si="413"/>
        <v>6.723999999999998E-2</v>
      </c>
      <c r="AI266" s="178">
        <f t="shared" si="414"/>
        <v>1.9798989873223332</v>
      </c>
      <c r="AJ266" s="178">
        <f t="shared" si="415"/>
        <v>1.9798989873223332</v>
      </c>
      <c r="AK266" s="178">
        <f t="shared" si="416"/>
        <v>2.05918443505358</v>
      </c>
      <c r="AM266" s="560">
        <f t="shared" si="417"/>
        <v>392</v>
      </c>
      <c r="AN266" s="470">
        <f t="shared" si="418"/>
        <v>350</v>
      </c>
      <c r="AP266">
        <f t="shared" si="419"/>
        <v>392</v>
      </c>
      <c r="AQ266">
        <f t="shared" si="420"/>
        <v>350</v>
      </c>
      <c r="AS266" s="6">
        <f t="shared" si="426"/>
        <v>2.8571428571428572</v>
      </c>
      <c r="AT266" s="6">
        <f t="shared" si="421"/>
        <v>0.32998316455372223</v>
      </c>
      <c r="AU266" s="6">
        <f t="shared" si="393"/>
        <v>2.5271596925891351</v>
      </c>
      <c r="AV266" s="6"/>
      <c r="AW266" s="178">
        <f t="shared" si="394"/>
        <v>0.11549410759380278</v>
      </c>
      <c r="AX266" s="178"/>
      <c r="BA266" s="470">
        <f>L*Isw_max^2/(2*Vout_ripple*Vout)*1000000000*((1+M266)/2)^2</f>
        <v>15.348186929124752</v>
      </c>
      <c r="BB266" s="470">
        <f>L*F266^2/(2*Cout*Vout*Nps^2)*1000000000*((1+M266)/(1-M266))^2+F266*RCoutEsr</f>
        <v>3.5665937746256908</v>
      </c>
      <c r="BC266" s="6">
        <f t="shared" si="392"/>
        <v>0.44139085469003214</v>
      </c>
      <c r="BD266" s="470">
        <f>((BY266/I266/Efficiency)*AU266/Cin+(BY266/I266/Efficiency)*RCinEsr)*1000</f>
        <v>0</v>
      </c>
      <c r="CD266" s="577">
        <f t="shared" si="422"/>
        <v>-50</v>
      </c>
      <c r="CE266">
        <f t="shared" si="423"/>
        <v>-50</v>
      </c>
    </row>
    <row r="267" spans="5:83" x14ac:dyDescent="0.2">
      <c r="E267" s="175">
        <v>50</v>
      </c>
      <c r="F267" s="222">
        <f t="shared" si="424"/>
        <v>0.4</v>
      </c>
      <c r="G267" s="222"/>
      <c r="H267" s="222">
        <f t="shared" si="395"/>
        <v>4.8000000000000007</v>
      </c>
      <c r="I267" s="556">
        <f t="shared" si="396"/>
        <v>42</v>
      </c>
      <c r="J267" s="452">
        <f t="shared" si="397"/>
        <v>12.25</v>
      </c>
      <c r="K267" s="452">
        <f t="shared" si="398"/>
        <v>54.25</v>
      </c>
      <c r="L267" s="452"/>
      <c r="M267" s="222">
        <f t="shared" si="399"/>
        <v>0.22580645161290322</v>
      </c>
      <c r="N267" s="177">
        <f t="shared" si="400"/>
        <v>18.469838709677418</v>
      </c>
      <c r="O267" s="177">
        <f t="shared" si="425"/>
        <v>4.8000000000000007</v>
      </c>
      <c r="P267" s="222">
        <f t="shared" si="401"/>
        <v>1.5391532258064515</v>
      </c>
      <c r="Q267" s="222">
        <f t="shared" si="402"/>
        <v>12</v>
      </c>
      <c r="R267" s="222"/>
      <c r="S267" s="177">
        <f t="shared" si="403"/>
        <v>162.55199552394123</v>
      </c>
      <c r="T267" s="177">
        <f t="shared" si="404"/>
        <v>12</v>
      </c>
      <c r="U267" s="222">
        <f t="shared" si="405"/>
        <v>1.0655209452201935</v>
      </c>
      <c r="V267" s="222">
        <f t="shared" si="406"/>
        <v>0.17758682420336558</v>
      </c>
      <c r="W267" s="222">
        <f t="shared" si="407"/>
        <v>0.60886911155439627</v>
      </c>
      <c r="X267" s="202">
        <f t="shared" si="408"/>
        <v>350</v>
      </c>
      <c r="Y267" s="452">
        <f t="shared" si="375"/>
        <v>350</v>
      </c>
      <c r="AA267" s="222">
        <f t="shared" si="409"/>
        <v>3.8709677419354835</v>
      </c>
      <c r="AB267" s="178">
        <f t="shared" si="410"/>
        <v>2.2119815668202762</v>
      </c>
      <c r="AC267" s="178">
        <f t="shared" si="411"/>
        <v>1.4984391259105099</v>
      </c>
      <c r="AD267" s="178"/>
      <c r="AE267" s="178">
        <f t="shared" si="412"/>
        <v>0.46857142857142853</v>
      </c>
      <c r="AF267" s="560">
        <f>MAX(12000,F267/(0.5*AE267/1000000*Isw_min*Nps))/1000</f>
        <v>2082.0939916716247</v>
      </c>
      <c r="AG267" s="543">
        <f t="shared" si="413"/>
        <v>6.723999999999998E-2</v>
      </c>
      <c r="AI267" s="178">
        <f t="shared" si="414"/>
        <v>2</v>
      </c>
      <c r="AJ267" s="178">
        <f t="shared" si="415"/>
        <v>2</v>
      </c>
      <c r="AK267" s="178">
        <f t="shared" si="416"/>
        <v>2.074074074074074</v>
      </c>
      <c r="AM267" s="560">
        <f t="shared" si="417"/>
        <v>400</v>
      </c>
      <c r="AN267" s="470">
        <f t="shared" si="418"/>
        <v>350</v>
      </c>
      <c r="AP267">
        <f t="shared" si="419"/>
        <v>400</v>
      </c>
      <c r="AQ267">
        <f t="shared" si="420"/>
        <v>350</v>
      </c>
      <c r="AS267" s="6">
        <f t="shared" si="426"/>
        <v>2.8571428571428572</v>
      </c>
      <c r="AT267" s="6">
        <f t="shared" si="421"/>
        <v>0.33333333333333337</v>
      </c>
      <c r="AU267" s="6">
        <f t="shared" si="393"/>
        <v>2.5238095238095237</v>
      </c>
      <c r="AV267" s="6"/>
      <c r="AW267" s="178">
        <f t="shared" si="394"/>
        <v>0.11666666666666668</v>
      </c>
      <c r="AX267" s="178"/>
      <c r="BA267" s="470">
        <f>L*Isw_max^2/(2*Vout_ripple*Vout)*1000000000*((1+M267)/2)^2</f>
        <v>15.348186929124752</v>
      </c>
      <c r="BB267" s="470">
        <f>L*F267^2/(2*Cout*Vout*Nps^2)*1000000000*((1+M267)/(1-M267))^2+F267*RCoutEsr</f>
        <v>3.6891646966115066</v>
      </c>
      <c r="BC267" s="6">
        <f t="shared" si="392"/>
        <v>0.4498017530598985</v>
      </c>
      <c r="BD267" s="470">
        <f>((BY267/I267/Efficiency)*AU267/Cin+(BY267/I267/Efficiency)*RCinEsr)*1000</f>
        <v>0</v>
      </c>
      <c r="CD267" s="577">
        <f t="shared" si="422"/>
        <v>-50</v>
      </c>
      <c r="CE267">
        <f t="shared" si="423"/>
        <v>-50</v>
      </c>
    </row>
    <row r="268" spans="5:83" x14ac:dyDescent="0.2">
      <c r="E268" s="175">
        <v>51</v>
      </c>
      <c r="F268" s="222">
        <f t="shared" si="424"/>
        <v>0.40800000000000003</v>
      </c>
      <c r="G268" s="222"/>
      <c r="H268" s="222">
        <f t="shared" si="395"/>
        <v>4.8960000000000008</v>
      </c>
      <c r="I268" s="556">
        <f t="shared" si="396"/>
        <v>42</v>
      </c>
      <c r="J268" s="452">
        <f t="shared" si="397"/>
        <v>12.25</v>
      </c>
      <c r="K268" s="452">
        <f t="shared" si="398"/>
        <v>54.25</v>
      </c>
      <c r="L268" s="452"/>
      <c r="M268" s="222">
        <f t="shared" si="399"/>
        <v>0.22580645161290322</v>
      </c>
      <c r="N268" s="177">
        <f t="shared" si="400"/>
        <v>18.469838709677418</v>
      </c>
      <c r="O268" s="177">
        <f t="shared" si="425"/>
        <v>4.8960000000000008</v>
      </c>
      <c r="P268" s="222">
        <f t="shared" si="401"/>
        <v>1.5391532258064515</v>
      </c>
      <c r="Q268" s="222">
        <f t="shared" si="402"/>
        <v>12</v>
      </c>
      <c r="R268" s="222"/>
      <c r="S268" s="177">
        <f t="shared" si="403"/>
        <v>158.54406455475578</v>
      </c>
      <c r="T268" s="177">
        <f t="shared" si="404"/>
        <v>12</v>
      </c>
      <c r="U268" s="222">
        <f t="shared" si="405"/>
        <v>1.0868313641245975</v>
      </c>
      <c r="V268" s="222">
        <f t="shared" si="406"/>
        <v>0.18113856068743289</v>
      </c>
      <c r="W268" s="222">
        <f t="shared" si="407"/>
        <v>0.62104649378548415</v>
      </c>
      <c r="X268" s="202">
        <f t="shared" si="408"/>
        <v>350</v>
      </c>
      <c r="Y268" s="452">
        <f t="shared" si="375"/>
        <v>350</v>
      </c>
      <c r="AA268" s="222">
        <f t="shared" si="409"/>
        <v>3.8709677419354835</v>
      </c>
      <c r="AB268" s="178">
        <f t="shared" si="410"/>
        <v>2.2119815668202762</v>
      </c>
      <c r="AC268" s="178">
        <f t="shared" si="411"/>
        <v>1.4984391259105099</v>
      </c>
      <c r="AD268" s="178"/>
      <c r="AE268" s="178">
        <f t="shared" si="412"/>
        <v>0.46857142857142853</v>
      </c>
      <c r="AF268" s="560">
        <f>MAX(12000,F268/(0.5*AE268/1000000*Isw_min*Nps))/1000</f>
        <v>2123.7358715050568</v>
      </c>
      <c r="AG268" s="543">
        <f t="shared" si="413"/>
        <v>6.723999999999998E-2</v>
      </c>
      <c r="AI268" s="178">
        <f t="shared" si="414"/>
        <v>2.0199009876724157</v>
      </c>
      <c r="AJ268" s="178">
        <f t="shared" si="415"/>
        <v>2.0199009876724157</v>
      </c>
      <c r="AK268" s="178">
        <f t="shared" si="416"/>
        <v>2.0888155464240117</v>
      </c>
      <c r="AM268" s="560">
        <f t="shared" si="417"/>
        <v>408.00000000000006</v>
      </c>
      <c r="AN268" s="470">
        <f t="shared" si="418"/>
        <v>350</v>
      </c>
      <c r="AP268">
        <f t="shared" si="419"/>
        <v>408.00000000000006</v>
      </c>
      <c r="AQ268">
        <f t="shared" si="420"/>
        <v>350</v>
      </c>
      <c r="AS268" s="6">
        <f t="shared" si="426"/>
        <v>2.8571428571428572</v>
      </c>
      <c r="AT268" s="6">
        <f t="shared" si="421"/>
        <v>0.33665016461206926</v>
      </c>
      <c r="AU268" s="6">
        <f t="shared" si="393"/>
        <v>2.5204926925307878</v>
      </c>
      <c r="AV268" s="6"/>
      <c r="AW268" s="178">
        <f t="shared" si="394"/>
        <v>0.11782755761422424</v>
      </c>
      <c r="AX268" s="178"/>
      <c r="BA268" s="470">
        <f>L*Isw_max^2/(2*Vout_ripple*Vout)*1000000000*((1+M268)/2)^2</f>
        <v>15.348186929124752</v>
      </c>
      <c r="BB268" s="470">
        <f>L*F268^2/(2*Cout*Vout*Nps^2)*1000000000*((1+M268)/(1-M268))^2+F268*RCoutEsr</f>
        <v>3.813726950354611</v>
      </c>
      <c r="BC268" s="6">
        <f t="shared" si="392"/>
        <v>0.45819482865054256</v>
      </c>
      <c r="BD268" s="470">
        <f>((BY268/I268/Efficiency)*AU268/Cin+(BY268/I268/Efficiency)*RCinEsr)*1000</f>
        <v>0</v>
      </c>
      <c r="CD268" s="577">
        <f t="shared" si="422"/>
        <v>-50</v>
      </c>
      <c r="CE268">
        <f t="shared" si="423"/>
        <v>-50</v>
      </c>
    </row>
    <row r="269" spans="5:83" x14ac:dyDescent="0.2">
      <c r="E269" s="175">
        <v>52</v>
      </c>
      <c r="F269" s="222">
        <f t="shared" si="424"/>
        <v>0.41600000000000004</v>
      </c>
      <c r="G269" s="222"/>
      <c r="H269" s="222">
        <f t="shared" si="395"/>
        <v>4.9920000000000009</v>
      </c>
      <c r="I269" s="556">
        <f t="shared" si="396"/>
        <v>42</v>
      </c>
      <c r="J269" s="452">
        <f t="shared" si="397"/>
        <v>12.25</v>
      </c>
      <c r="K269" s="452">
        <f t="shared" si="398"/>
        <v>54.25</v>
      </c>
      <c r="L269" s="452"/>
      <c r="M269" s="222">
        <f t="shared" si="399"/>
        <v>0.22580645161290322</v>
      </c>
      <c r="N269" s="177">
        <f t="shared" si="400"/>
        <v>18.469838709677418</v>
      </c>
      <c r="O269" s="177">
        <f t="shared" si="425"/>
        <v>4.9920000000000009</v>
      </c>
      <c r="P269" s="222">
        <f t="shared" si="401"/>
        <v>1.5391532258064515</v>
      </c>
      <c r="Q269" s="222">
        <f t="shared" si="402"/>
        <v>12</v>
      </c>
      <c r="R269" s="222"/>
      <c r="S269" s="177">
        <f t="shared" si="403"/>
        <v>154.69036416289094</v>
      </c>
      <c r="T269" s="177">
        <f t="shared" si="404"/>
        <v>12</v>
      </c>
      <c r="U269" s="222">
        <f t="shared" si="405"/>
        <v>1.1081417830290012</v>
      </c>
      <c r="V269" s="222">
        <f t="shared" si="406"/>
        <v>0.18469029717150021</v>
      </c>
      <c r="W269" s="222">
        <f t="shared" si="407"/>
        <v>0.63322387601657215</v>
      </c>
      <c r="X269" s="202">
        <f t="shared" si="408"/>
        <v>350</v>
      </c>
      <c r="Y269" s="452">
        <f t="shared" si="375"/>
        <v>350</v>
      </c>
      <c r="AA269" s="222">
        <f t="shared" si="409"/>
        <v>3.8709677419354835</v>
      </c>
      <c r="AB269" s="178">
        <f t="shared" si="410"/>
        <v>2.2119815668202762</v>
      </c>
      <c r="AC269" s="178">
        <f t="shared" si="411"/>
        <v>1.4984391259105099</v>
      </c>
      <c r="AD269" s="178"/>
      <c r="AE269" s="178">
        <f t="shared" si="412"/>
        <v>0.46857142857142853</v>
      </c>
      <c r="AF269" s="560">
        <f>MAX(12000,F269/(0.5*AE269/1000000*Isw_min*Nps))/1000</f>
        <v>2165.3777513384898</v>
      </c>
      <c r="AG269" s="543">
        <f t="shared" si="413"/>
        <v>6.723999999999998E-2</v>
      </c>
      <c r="AI269" s="178">
        <f t="shared" si="414"/>
        <v>2.0396078054371141</v>
      </c>
      <c r="AJ269" s="178">
        <f t="shared" si="415"/>
        <v>2.0396078054371141</v>
      </c>
      <c r="AK269" s="178">
        <f t="shared" si="416"/>
        <v>2.1034131892126773</v>
      </c>
      <c r="AM269" s="560">
        <f t="shared" si="417"/>
        <v>416.00000000000006</v>
      </c>
      <c r="AN269" s="470">
        <f t="shared" si="418"/>
        <v>350</v>
      </c>
      <c r="AP269">
        <f t="shared" si="419"/>
        <v>416.00000000000006</v>
      </c>
      <c r="AQ269">
        <f t="shared" si="420"/>
        <v>350</v>
      </c>
      <c r="AS269" s="6">
        <f t="shared" si="426"/>
        <v>2.8571428571428572</v>
      </c>
      <c r="AT269" s="6">
        <f t="shared" si="421"/>
        <v>0.33993463423951897</v>
      </c>
      <c r="AU269" s="6">
        <f t="shared" si="393"/>
        <v>2.5172082229033381</v>
      </c>
      <c r="AV269" s="6"/>
      <c r="AW269" s="178">
        <f t="shared" si="394"/>
        <v>0.11897712198383163</v>
      </c>
      <c r="AX269" s="178"/>
      <c r="BA269" s="470">
        <f>L*Isw_max^2/(2*Vout_ripple*Vout)*1000000000*((1+M269)/2)^2</f>
        <v>15.348186929124752</v>
      </c>
      <c r="BB269" s="470">
        <f>L*F269^2/(2*Cout*Vout*Nps^2)*1000000000*((1+M269)/(1-M269))^2+F269*RCoutEsr</f>
        <v>3.9402805358550053</v>
      </c>
      <c r="BC269" s="6">
        <f t="shared" si="392"/>
        <v>0.4665702570772659</v>
      </c>
      <c r="BD269" s="470">
        <f>((BY269/I269/Efficiency)*AU269/Cin+(BY269/I269/Efficiency)*RCinEsr)*1000</f>
        <v>0</v>
      </c>
      <c r="CD269" s="577">
        <f t="shared" si="422"/>
        <v>-50</v>
      </c>
      <c r="CE269">
        <f t="shared" si="423"/>
        <v>-50</v>
      </c>
    </row>
    <row r="270" spans="5:83" x14ac:dyDescent="0.2">
      <c r="E270" s="175">
        <v>53</v>
      </c>
      <c r="F270" s="222">
        <f t="shared" si="424"/>
        <v>0.42400000000000004</v>
      </c>
      <c r="G270" s="222"/>
      <c r="H270" s="222">
        <f t="shared" si="395"/>
        <v>5.088000000000001</v>
      </c>
      <c r="I270" s="556">
        <f t="shared" si="396"/>
        <v>42</v>
      </c>
      <c r="J270" s="452">
        <f t="shared" si="397"/>
        <v>12.25</v>
      </c>
      <c r="K270" s="452">
        <f t="shared" si="398"/>
        <v>54.25</v>
      </c>
      <c r="L270" s="452"/>
      <c r="M270" s="222">
        <f t="shared" si="399"/>
        <v>0.22580645161290322</v>
      </c>
      <c r="N270" s="177">
        <f t="shared" si="400"/>
        <v>18.469838709677418</v>
      </c>
      <c r="O270" s="177">
        <f t="shared" si="425"/>
        <v>5.088000000000001</v>
      </c>
      <c r="P270" s="222">
        <f t="shared" si="401"/>
        <v>1.5391532258064515</v>
      </c>
      <c r="Q270" s="222">
        <f t="shared" si="402"/>
        <v>12</v>
      </c>
      <c r="R270" s="222"/>
      <c r="S270" s="177">
        <f t="shared" si="403"/>
        <v>150.98216552338317</v>
      </c>
      <c r="T270" s="177">
        <f t="shared" si="404"/>
        <v>12</v>
      </c>
      <c r="U270" s="222">
        <f t="shared" si="405"/>
        <v>1.1294522019334052</v>
      </c>
      <c r="V270" s="222">
        <f t="shared" si="406"/>
        <v>0.18824203365556752</v>
      </c>
      <c r="W270" s="222">
        <f t="shared" si="407"/>
        <v>0.64540125824766004</v>
      </c>
      <c r="X270" s="202">
        <f t="shared" si="408"/>
        <v>350</v>
      </c>
      <c r="Y270" s="452">
        <f t="shared" si="375"/>
        <v>350</v>
      </c>
      <c r="AA270" s="222">
        <f t="shared" si="409"/>
        <v>3.8709677419354835</v>
      </c>
      <c r="AB270" s="178">
        <f t="shared" si="410"/>
        <v>2.2119815668202762</v>
      </c>
      <c r="AC270" s="178">
        <f t="shared" si="411"/>
        <v>1.4984391259105099</v>
      </c>
      <c r="AD270" s="178"/>
      <c r="AE270" s="178">
        <f t="shared" si="412"/>
        <v>0.46857142857142853</v>
      </c>
      <c r="AF270" s="560">
        <f>MAX(12000,F270/(0.5*AE270/1000000*Isw_min*Nps))/1000</f>
        <v>2207.0196311719224</v>
      </c>
      <c r="AG270" s="543">
        <f t="shared" si="413"/>
        <v>6.723999999999998E-2</v>
      </c>
      <c r="AI270" s="178">
        <f t="shared" si="414"/>
        <v>2.0591260281974004</v>
      </c>
      <c r="AJ270" s="178">
        <f t="shared" si="415"/>
        <v>2.0591260281974004</v>
      </c>
      <c r="AK270" s="178">
        <f t="shared" si="416"/>
        <v>2.1178711319980743</v>
      </c>
      <c r="AM270" s="560">
        <f t="shared" si="417"/>
        <v>424.00000000000006</v>
      </c>
      <c r="AN270" s="470">
        <f t="shared" si="418"/>
        <v>350</v>
      </c>
      <c r="AP270">
        <f t="shared" si="419"/>
        <v>424.00000000000006</v>
      </c>
      <c r="AQ270">
        <f t="shared" si="420"/>
        <v>350</v>
      </c>
      <c r="AS270" s="6">
        <f t="shared" si="426"/>
        <v>2.8571428571428572</v>
      </c>
      <c r="AT270" s="6">
        <f t="shared" si="421"/>
        <v>0.3431876713662334</v>
      </c>
      <c r="AU270" s="6">
        <f t="shared" si="393"/>
        <v>2.5139551857766236</v>
      </c>
      <c r="AV270" s="6"/>
      <c r="AW270" s="178">
        <f t="shared" si="394"/>
        <v>0.12011568497818169</v>
      </c>
      <c r="AX270" s="178"/>
      <c r="BA270" s="470">
        <f>L*Isw_max^2/(2*Vout_ripple*Vout)*1000000000*((1+M270)/2)^2</f>
        <v>15.348186929124752</v>
      </c>
      <c r="BB270" s="470">
        <f>L*F270^2/(2*Cout*Vout*Nps^2)*1000000000*((1+M270)/(1-M270))^2+F270*RCoutEsr</f>
        <v>4.0688254531126891</v>
      </c>
      <c r="BC270" s="6">
        <f t="shared" si="392"/>
        <v>0.47492820886406617</v>
      </c>
      <c r="BD270" s="470">
        <f>((BY270/I270/Efficiency)*AU270/Cin+(BY270/I270/Efficiency)*RCinEsr)*1000</f>
        <v>0</v>
      </c>
      <c r="CD270" s="577">
        <f t="shared" si="422"/>
        <v>-50</v>
      </c>
      <c r="CE270">
        <f t="shared" si="423"/>
        <v>-50</v>
      </c>
    </row>
    <row r="271" spans="5:83" x14ac:dyDescent="0.2">
      <c r="E271" s="175">
        <v>54</v>
      </c>
      <c r="F271" s="222">
        <f t="shared" si="424"/>
        <v>0.43200000000000005</v>
      </c>
      <c r="G271" s="222"/>
      <c r="H271" s="222">
        <f t="shared" si="395"/>
        <v>5.1840000000000011</v>
      </c>
      <c r="I271" s="556">
        <f t="shared" si="396"/>
        <v>42</v>
      </c>
      <c r="J271" s="452">
        <f t="shared" si="397"/>
        <v>12.25</v>
      </c>
      <c r="K271" s="452">
        <f t="shared" si="398"/>
        <v>54.25</v>
      </c>
      <c r="L271" s="452"/>
      <c r="M271" s="222">
        <f t="shared" si="399"/>
        <v>0.22580645161290322</v>
      </c>
      <c r="N271" s="177">
        <f t="shared" si="400"/>
        <v>18.469838709677418</v>
      </c>
      <c r="O271" s="177">
        <f t="shared" si="425"/>
        <v>5.1840000000000011</v>
      </c>
      <c r="P271" s="222">
        <f t="shared" si="401"/>
        <v>1.5391532258064515</v>
      </c>
      <c r="Q271" s="222">
        <f t="shared" si="402"/>
        <v>12</v>
      </c>
      <c r="R271" s="222"/>
      <c r="S271" s="177">
        <f t="shared" si="403"/>
        <v>147.41138641528215</v>
      </c>
      <c r="T271" s="177">
        <f t="shared" si="404"/>
        <v>12</v>
      </c>
      <c r="U271" s="222">
        <f t="shared" si="405"/>
        <v>1.150762620837809</v>
      </c>
      <c r="V271" s="222">
        <f t="shared" si="406"/>
        <v>0.19179377013963486</v>
      </c>
      <c r="W271" s="222">
        <f t="shared" si="407"/>
        <v>0.65757864047874792</v>
      </c>
      <c r="X271" s="202">
        <f t="shared" si="408"/>
        <v>350</v>
      </c>
      <c r="Y271" s="452">
        <f t="shared" si="375"/>
        <v>350</v>
      </c>
      <c r="AA271" s="222">
        <f t="shared" si="409"/>
        <v>3.8709677419354835</v>
      </c>
      <c r="AB271" s="178">
        <f t="shared" si="410"/>
        <v>2.2119815668202762</v>
      </c>
      <c r="AC271" s="178">
        <f t="shared" si="411"/>
        <v>1.4984391259105099</v>
      </c>
      <c r="AD271" s="178"/>
      <c r="AE271" s="178">
        <f t="shared" si="412"/>
        <v>0.46857142857142853</v>
      </c>
      <c r="AF271" s="560">
        <f>MAX(12000,F271/(0.5*AE271/1000000*Isw_min*Nps))/1000</f>
        <v>2248.6615110053544</v>
      </c>
      <c r="AG271" s="543">
        <f t="shared" si="413"/>
        <v>6.723999999999998E-2</v>
      </c>
      <c r="AI271" s="178">
        <f t="shared" si="414"/>
        <v>2.078460969082653</v>
      </c>
      <c r="AJ271" s="178">
        <f t="shared" si="415"/>
        <v>2.078460969082653</v>
      </c>
      <c r="AK271" s="178">
        <f t="shared" si="416"/>
        <v>2.1321933104315951</v>
      </c>
      <c r="AM271" s="560">
        <f t="shared" si="417"/>
        <v>432.00000000000006</v>
      </c>
      <c r="AN271" s="470">
        <f t="shared" si="418"/>
        <v>350</v>
      </c>
      <c r="AP271">
        <f t="shared" si="419"/>
        <v>432.00000000000006</v>
      </c>
      <c r="AQ271">
        <f t="shared" si="420"/>
        <v>350</v>
      </c>
      <c r="AS271" s="6">
        <f t="shared" si="426"/>
        <v>2.8571428571428572</v>
      </c>
      <c r="AT271" s="6">
        <f t="shared" si="421"/>
        <v>0.34641016151377552</v>
      </c>
      <c r="AU271" s="6">
        <f t="shared" si="393"/>
        <v>2.5107326956290819</v>
      </c>
      <c r="AV271" s="6"/>
      <c r="AW271" s="178">
        <f t="shared" si="394"/>
        <v>0.12124355652982143</v>
      </c>
      <c r="AX271" s="178"/>
      <c r="BA271" s="470">
        <f>L*Isw_max^2/(2*Vout_ripple*Vout)*1000000000*((1+M271)/2)^2</f>
        <v>15.348186929124752</v>
      </c>
      <c r="BB271" s="470">
        <f>L*F271^2/(2*Cout*Vout*Nps^2)*1000000000*((1+M271)/(1-M271))^2+F271*RCoutEsr</f>
        <v>4.1993617021276606</v>
      </c>
      <c r="BC271" s="6">
        <f t="shared" si="392"/>
        <v>0.48326884968499634</v>
      </c>
      <c r="BD271" s="470">
        <f>((BY271/I271/Efficiency)*AU271/Cin+(BY271/I271/Efficiency)*RCinEsr)*1000</f>
        <v>0</v>
      </c>
      <c r="CD271" s="577">
        <f t="shared" si="422"/>
        <v>-50</v>
      </c>
      <c r="CE271">
        <f t="shared" si="423"/>
        <v>-50</v>
      </c>
    </row>
    <row r="272" spans="5:83" x14ac:dyDescent="0.2">
      <c r="E272" s="175">
        <v>55</v>
      </c>
      <c r="F272" s="222">
        <f t="shared" si="424"/>
        <v>0.44000000000000006</v>
      </c>
      <c r="G272" s="222"/>
      <c r="H272" s="222">
        <f t="shared" si="395"/>
        <v>5.2800000000000011</v>
      </c>
      <c r="I272" s="556">
        <f t="shared" si="396"/>
        <v>42</v>
      </c>
      <c r="J272" s="452">
        <f t="shared" si="397"/>
        <v>12.25</v>
      </c>
      <c r="K272" s="452">
        <f t="shared" si="398"/>
        <v>54.25</v>
      </c>
      <c r="L272" s="452"/>
      <c r="M272" s="222">
        <f t="shared" si="399"/>
        <v>0.22580645161290322</v>
      </c>
      <c r="N272" s="177">
        <f t="shared" si="400"/>
        <v>18.469838709677418</v>
      </c>
      <c r="O272" s="177">
        <f t="shared" si="425"/>
        <v>5.2800000000000011</v>
      </c>
      <c r="P272" s="222">
        <f t="shared" si="401"/>
        <v>1.5391532258064515</v>
      </c>
      <c r="Q272" s="222">
        <f t="shared" si="402"/>
        <v>12</v>
      </c>
      <c r="R272" s="222"/>
      <c r="S272" s="177">
        <f t="shared" si="403"/>
        <v>143.97053244007995</v>
      </c>
      <c r="T272" s="177">
        <f t="shared" si="404"/>
        <v>12</v>
      </c>
      <c r="U272" s="222">
        <f t="shared" si="405"/>
        <v>1.172073039742213</v>
      </c>
      <c r="V272" s="222">
        <f t="shared" si="406"/>
        <v>0.19534550662370218</v>
      </c>
      <c r="W272" s="222">
        <f t="shared" si="407"/>
        <v>0.66975602270983603</v>
      </c>
      <c r="X272" s="202">
        <f t="shared" si="408"/>
        <v>350</v>
      </c>
      <c r="Y272" s="452">
        <f t="shared" si="375"/>
        <v>350</v>
      </c>
      <c r="AA272" s="222">
        <f t="shared" si="409"/>
        <v>3.8709677419354835</v>
      </c>
      <c r="AB272" s="178">
        <f t="shared" si="410"/>
        <v>2.2119815668202762</v>
      </c>
      <c r="AC272" s="178">
        <f t="shared" si="411"/>
        <v>1.4984391259105099</v>
      </c>
      <c r="AD272" s="178"/>
      <c r="AE272" s="178">
        <f t="shared" si="412"/>
        <v>0.46857142857142853</v>
      </c>
      <c r="AF272" s="560">
        <f>MAX(12000,F272/(0.5*AE272/1000000*Isw_min*Nps))/1000</f>
        <v>2290.303390838787</v>
      </c>
      <c r="AG272" s="543">
        <f t="shared" si="413"/>
        <v>6.723999999999998E-2</v>
      </c>
      <c r="AI272" s="178">
        <f t="shared" si="414"/>
        <v>2.0976176963403033</v>
      </c>
      <c r="AJ272" s="178">
        <f t="shared" si="415"/>
        <v>2.0976176963403033</v>
      </c>
      <c r="AK272" s="178">
        <f t="shared" si="416"/>
        <v>2.1463834787705949</v>
      </c>
      <c r="AM272" s="560">
        <f t="shared" si="417"/>
        <v>440.00000000000006</v>
      </c>
      <c r="AN272" s="470">
        <f t="shared" si="418"/>
        <v>350</v>
      </c>
      <c r="AP272">
        <f t="shared" si="419"/>
        <v>440.00000000000006</v>
      </c>
      <c r="AQ272">
        <f t="shared" si="420"/>
        <v>350</v>
      </c>
      <c r="AS272" s="6">
        <f t="shared" si="426"/>
        <v>2.8571428571428572</v>
      </c>
      <c r="AT272" s="6">
        <f t="shared" si="421"/>
        <v>0.34960294939005054</v>
      </c>
      <c r="AU272" s="6">
        <f t="shared" si="393"/>
        <v>2.5075399077528067</v>
      </c>
      <c r="AV272" s="6"/>
      <c r="AW272" s="178">
        <f t="shared" si="394"/>
        <v>0.12236103228651769</v>
      </c>
      <c r="AX272" s="178"/>
      <c r="BA272" s="470">
        <f>L*Isw_max^2/(2*Vout_ripple*Vout)*1000000000*((1+M272)/2)^2</f>
        <v>15.348186929124752</v>
      </c>
      <c r="BB272" s="470">
        <f>L*F272^2/(2*Cout*Vout*Nps^2)*1000000000*((1+M272)/(1-M272))^2+F272*RCoutEsr</f>
        <v>4.3318892828999234</v>
      </c>
      <c r="BC272" s="6">
        <f t="shared" si="392"/>
        <v>0.49159234058980128</v>
      </c>
      <c r="BD272" s="470">
        <f>((BY272/I272/Efficiency)*AU272/Cin+(BY272/I272/Efficiency)*RCinEsr)*1000</f>
        <v>0</v>
      </c>
      <c r="CD272" s="577">
        <f t="shared" si="422"/>
        <v>-50</v>
      </c>
      <c r="CE272">
        <f t="shared" si="423"/>
        <v>-50</v>
      </c>
    </row>
    <row r="273" spans="5:83" x14ac:dyDescent="0.2">
      <c r="E273" s="175">
        <v>56</v>
      </c>
      <c r="F273" s="222">
        <f t="shared" si="424"/>
        <v>0.44800000000000006</v>
      </c>
      <c r="G273" s="222"/>
      <c r="H273" s="222">
        <f t="shared" si="395"/>
        <v>5.3760000000000012</v>
      </c>
      <c r="I273" s="556">
        <f t="shared" si="396"/>
        <v>42</v>
      </c>
      <c r="J273" s="452">
        <f t="shared" si="397"/>
        <v>12.25</v>
      </c>
      <c r="K273" s="452">
        <f t="shared" si="398"/>
        <v>54.25</v>
      </c>
      <c r="L273" s="452"/>
      <c r="M273" s="222">
        <f t="shared" si="399"/>
        <v>0.22580645161290322</v>
      </c>
      <c r="N273" s="177">
        <f t="shared" si="400"/>
        <v>18.469838709677418</v>
      </c>
      <c r="O273" s="177">
        <f t="shared" si="425"/>
        <v>5.3760000000000012</v>
      </c>
      <c r="P273" s="222">
        <f t="shared" si="401"/>
        <v>1.5391532258064515</v>
      </c>
      <c r="Q273" s="222">
        <f t="shared" si="402"/>
        <v>12</v>
      </c>
      <c r="R273" s="222"/>
      <c r="S273" s="177">
        <f t="shared" si="403"/>
        <v>140.65264453818475</v>
      </c>
      <c r="T273" s="177">
        <f t="shared" si="404"/>
        <v>12</v>
      </c>
      <c r="U273" s="222">
        <f t="shared" si="405"/>
        <v>1.1933834586466168</v>
      </c>
      <c r="V273" s="222">
        <f t="shared" si="406"/>
        <v>0.19889724310776949</v>
      </c>
      <c r="W273" s="222">
        <f t="shared" si="407"/>
        <v>0.68193340494092392</v>
      </c>
      <c r="X273" s="202">
        <f t="shared" si="408"/>
        <v>350</v>
      </c>
      <c r="Y273" s="452">
        <f t="shared" si="375"/>
        <v>350</v>
      </c>
      <c r="AA273" s="222">
        <f t="shared" si="409"/>
        <v>3.8709677419354835</v>
      </c>
      <c r="AB273" s="178">
        <f t="shared" si="410"/>
        <v>2.2119815668202762</v>
      </c>
      <c r="AC273" s="178">
        <f t="shared" si="411"/>
        <v>1.4984391259105099</v>
      </c>
      <c r="AD273" s="178"/>
      <c r="AE273" s="178">
        <f t="shared" si="412"/>
        <v>0.46857142857142853</v>
      </c>
      <c r="AF273" s="560">
        <f>MAX(12000,F273/(0.5*AE273/1000000*Isw_min*Nps))/1000</f>
        <v>2331.94527067222</v>
      </c>
      <c r="AG273" s="543">
        <f t="shared" si="413"/>
        <v>6.723999999999998E-2</v>
      </c>
      <c r="AI273" s="178">
        <f t="shared" si="414"/>
        <v>2.1166010488516727</v>
      </c>
      <c r="AJ273" s="178">
        <f t="shared" si="415"/>
        <v>2.1166010488516727</v>
      </c>
      <c r="AK273" s="178">
        <f t="shared" si="416"/>
        <v>2.1604452213716092</v>
      </c>
      <c r="AM273" s="560">
        <f t="shared" si="417"/>
        <v>448.00000000000006</v>
      </c>
      <c r="AN273" s="470">
        <f t="shared" si="418"/>
        <v>350</v>
      </c>
      <c r="AP273">
        <f t="shared" si="419"/>
        <v>448.00000000000006</v>
      </c>
      <c r="AQ273">
        <f t="shared" si="420"/>
        <v>350</v>
      </c>
      <c r="AS273" s="6">
        <f t="shared" si="426"/>
        <v>2.8571428571428572</v>
      </c>
      <c r="AT273" s="6">
        <f t="shared" si="421"/>
        <v>0.35276684147527881</v>
      </c>
      <c r="AU273" s="6">
        <f t="shared" si="393"/>
        <v>2.5043760156675785</v>
      </c>
      <c r="AV273" s="6"/>
      <c r="AW273" s="178">
        <f t="shared" si="394"/>
        <v>0.12346839451634758</v>
      </c>
      <c r="AX273" s="178"/>
      <c r="BA273" s="470">
        <f>L*Isw_max^2/(2*Vout_ripple*Vout)*1000000000*((1+M273)/2)^2</f>
        <v>15.348186929124752</v>
      </c>
      <c r="BB273" s="470">
        <f>L*F273^2/(2*Cout*Vout*Nps^2)*1000000000*((1+M273)/(1-M273))^2+F273*RCoutEsr</f>
        <v>4.4664081954294739</v>
      </c>
      <c r="BC273" s="6">
        <f t="shared" si="392"/>
        <v>0.49989883821512682</v>
      </c>
      <c r="BD273" s="470">
        <f>((BY273/I273/Efficiency)*AU273/Cin+(BY273/I273/Efficiency)*RCinEsr)*1000</f>
        <v>0</v>
      </c>
      <c r="CD273" s="577">
        <f t="shared" si="422"/>
        <v>-50</v>
      </c>
      <c r="CE273">
        <f t="shared" si="423"/>
        <v>-50</v>
      </c>
    </row>
    <row r="274" spans="5:83" x14ac:dyDescent="0.2">
      <c r="E274" s="175">
        <v>57</v>
      </c>
      <c r="F274" s="222">
        <f t="shared" si="424"/>
        <v>0.45599999999999996</v>
      </c>
      <c r="G274" s="222"/>
      <c r="H274" s="222">
        <f t="shared" si="395"/>
        <v>5.4719999999999995</v>
      </c>
      <c r="I274" s="556">
        <f t="shared" si="396"/>
        <v>42</v>
      </c>
      <c r="J274" s="452">
        <f t="shared" si="397"/>
        <v>12.25</v>
      </c>
      <c r="K274" s="452">
        <f t="shared" si="398"/>
        <v>54.25</v>
      </c>
      <c r="L274" s="452"/>
      <c r="M274" s="222">
        <f t="shared" si="399"/>
        <v>0.22580645161290322</v>
      </c>
      <c r="N274" s="177">
        <f t="shared" si="400"/>
        <v>18.469838709677418</v>
      </c>
      <c r="O274" s="177">
        <f t="shared" si="425"/>
        <v>5.4719999999999995</v>
      </c>
      <c r="P274" s="222">
        <f t="shared" si="401"/>
        <v>1.5391532258064515</v>
      </c>
      <c r="Q274" s="222">
        <f t="shared" si="402"/>
        <v>12</v>
      </c>
      <c r="R274" s="222"/>
      <c r="S274" s="177">
        <f t="shared" si="403"/>
        <v>137.45125202999401</v>
      </c>
      <c r="T274" s="177">
        <f t="shared" si="404"/>
        <v>12</v>
      </c>
      <c r="U274" s="222">
        <f t="shared" si="405"/>
        <v>1.2146938775510203</v>
      </c>
      <c r="V274" s="222">
        <f t="shared" si="406"/>
        <v>0.20244897959183672</v>
      </c>
      <c r="W274" s="222">
        <f t="shared" si="407"/>
        <v>0.69411078717201158</v>
      </c>
      <c r="X274" s="202">
        <f t="shared" si="408"/>
        <v>350</v>
      </c>
      <c r="Y274" s="452">
        <f t="shared" si="375"/>
        <v>350</v>
      </c>
      <c r="AA274" s="222">
        <f t="shared" si="409"/>
        <v>3.8709677419354835</v>
      </c>
      <c r="AB274" s="178">
        <f t="shared" si="410"/>
        <v>2.2119815668202762</v>
      </c>
      <c r="AC274" s="178">
        <f t="shared" si="411"/>
        <v>1.4984391259105099</v>
      </c>
      <c r="AD274" s="178"/>
      <c r="AE274" s="178">
        <f t="shared" si="412"/>
        <v>0.46857142857142853</v>
      </c>
      <c r="AF274" s="560">
        <f>MAX(12000,F274/(0.5*AE274/1000000*Isw_min*Nps))/1000</f>
        <v>2373.5871505056516</v>
      </c>
      <c r="AG274" s="543">
        <f t="shared" si="413"/>
        <v>6.723999999999998E-2</v>
      </c>
      <c r="AI274" s="178">
        <f t="shared" si="414"/>
        <v>2.1354156504062622</v>
      </c>
      <c r="AJ274" s="178">
        <f t="shared" si="415"/>
        <v>2.1354156504062622</v>
      </c>
      <c r="AK274" s="178">
        <f t="shared" si="416"/>
        <v>2.1743819632638979</v>
      </c>
      <c r="AM274" s="560">
        <f t="shared" si="417"/>
        <v>455.99999999999994</v>
      </c>
      <c r="AN274" s="470">
        <f t="shared" si="418"/>
        <v>350</v>
      </c>
      <c r="AP274">
        <f t="shared" si="419"/>
        <v>455.99999999999994</v>
      </c>
      <c r="AQ274">
        <f t="shared" si="420"/>
        <v>350</v>
      </c>
      <c r="AS274" s="6">
        <f t="shared" si="426"/>
        <v>2.8571428571428572</v>
      </c>
      <c r="AT274" s="6">
        <f t="shared" si="421"/>
        <v>0.35590260840104365</v>
      </c>
      <c r="AU274" s="6">
        <f t="shared" si="393"/>
        <v>2.5012402487418135</v>
      </c>
      <c r="AV274" s="6"/>
      <c r="AW274" s="178">
        <f t="shared" si="394"/>
        <v>0.12456591294036527</v>
      </c>
      <c r="AX274" s="178"/>
      <c r="BA274" s="470">
        <f>L*Isw_max^2/(2*Vout_ripple*Vout)*1000000000*((1+M274)/2)^2</f>
        <v>15.348186929124752</v>
      </c>
      <c r="BB274" s="470">
        <f>L*F274^2/(2*Cout*Vout*Nps^2)*1000000000*((1+M274)/(1-M274))^2+F274*RCoutEsr</f>
        <v>4.6029184397163121</v>
      </c>
      <c r="BC274" s="6">
        <f t="shared" si="392"/>
        <v>0.50818849498246366</v>
      </c>
      <c r="BD274" s="470">
        <f>((BY274/I274/Efficiency)*AU274/Cin+(BY274/I274/Efficiency)*RCinEsr)*1000</f>
        <v>0</v>
      </c>
      <c r="CD274" s="577">
        <f t="shared" si="422"/>
        <v>-50</v>
      </c>
      <c r="CE274">
        <f t="shared" si="423"/>
        <v>-50</v>
      </c>
    </row>
    <row r="275" spans="5:83" x14ac:dyDescent="0.2">
      <c r="E275" s="175">
        <v>58</v>
      </c>
      <c r="F275" s="222">
        <f t="shared" si="424"/>
        <v>0.46399999999999997</v>
      </c>
      <c r="G275" s="222"/>
      <c r="H275" s="222">
        <f t="shared" si="395"/>
        <v>5.5679999999999996</v>
      </c>
      <c r="I275" s="556">
        <f t="shared" si="396"/>
        <v>42</v>
      </c>
      <c r="J275" s="452">
        <f t="shared" si="397"/>
        <v>12.25</v>
      </c>
      <c r="K275" s="452">
        <f t="shared" si="398"/>
        <v>54.25</v>
      </c>
      <c r="L275" s="452"/>
      <c r="M275" s="222">
        <f t="shared" si="399"/>
        <v>0.22580645161290322</v>
      </c>
      <c r="N275" s="177">
        <f t="shared" si="400"/>
        <v>18.469838709677418</v>
      </c>
      <c r="O275" s="177">
        <f t="shared" si="425"/>
        <v>5.5679999999999996</v>
      </c>
      <c r="P275" s="222">
        <f t="shared" si="401"/>
        <v>1.5391532258064515</v>
      </c>
      <c r="Q275" s="222">
        <f t="shared" si="402"/>
        <v>12</v>
      </c>
      <c r="R275" s="222"/>
      <c r="S275" s="177">
        <f t="shared" si="403"/>
        <v>134.36033051480712</v>
      </c>
      <c r="T275" s="177">
        <f t="shared" si="404"/>
        <v>12</v>
      </c>
      <c r="U275" s="222">
        <f t="shared" si="405"/>
        <v>1.2360042964554241</v>
      </c>
      <c r="V275" s="222">
        <f t="shared" si="406"/>
        <v>0.20600071607590403</v>
      </c>
      <c r="W275" s="222">
        <f t="shared" si="407"/>
        <v>0.70628816940309946</v>
      </c>
      <c r="X275" s="202">
        <f t="shared" si="408"/>
        <v>350</v>
      </c>
      <c r="Y275" s="452">
        <f t="shared" si="375"/>
        <v>350</v>
      </c>
      <c r="AA275" s="222">
        <f t="shared" si="409"/>
        <v>3.8709677419354835</v>
      </c>
      <c r="AB275" s="178">
        <f t="shared" si="410"/>
        <v>2.2119815668202762</v>
      </c>
      <c r="AC275" s="178">
        <f t="shared" si="411"/>
        <v>1.4984391259105099</v>
      </c>
      <c r="AD275" s="178"/>
      <c r="AE275" s="178">
        <f t="shared" si="412"/>
        <v>0.46857142857142853</v>
      </c>
      <c r="AF275" s="560">
        <f>MAX(12000,F275/(0.5*AE275/1000000*Isw_min*Nps))/1000</f>
        <v>2415.2290303390841</v>
      </c>
      <c r="AG275" s="543">
        <f t="shared" si="413"/>
        <v>6.723999999999998E-2</v>
      </c>
      <c r="AI275" s="178">
        <f t="shared" si="414"/>
        <v>2.1540659228538015</v>
      </c>
      <c r="AJ275" s="178">
        <f t="shared" si="415"/>
        <v>2.1540659228538015</v>
      </c>
      <c r="AK275" s="178">
        <f t="shared" si="416"/>
        <v>2.1881969798917047</v>
      </c>
      <c r="AM275" s="560">
        <f t="shared" si="417"/>
        <v>463.99999999999994</v>
      </c>
      <c r="AN275" s="470">
        <f t="shared" si="418"/>
        <v>350</v>
      </c>
      <c r="AP275">
        <f t="shared" si="419"/>
        <v>463.99999999999994</v>
      </c>
      <c r="AQ275">
        <f t="shared" si="420"/>
        <v>350</v>
      </c>
      <c r="AS275" s="6">
        <f t="shared" si="426"/>
        <v>2.8571428571428572</v>
      </c>
      <c r="AT275" s="6">
        <f t="shared" si="421"/>
        <v>0.35901098714230023</v>
      </c>
      <c r="AU275" s="6">
        <f t="shared" si="393"/>
        <v>2.4981318700005568</v>
      </c>
      <c r="AV275" s="6"/>
      <c r="AW275" s="178">
        <f t="shared" si="394"/>
        <v>0.12565384549980507</v>
      </c>
      <c r="AX275" s="178"/>
      <c r="BA275" s="470">
        <f>L*Isw_max^2/(2*Vout_ripple*Vout)*1000000000*((1+M275)/2)^2</f>
        <v>15.348186929124752</v>
      </c>
      <c r="BB275" s="470">
        <f>L*F275^2/(2*Cout*Vout*Nps^2)*1000000000*((1+M275)/(1-M275))^2+F275*RCoutEsr</f>
        <v>4.7414200157604416</v>
      </c>
      <c r="BC275" s="6">
        <f t="shared" si="392"/>
        <v>0.51646145928387999</v>
      </c>
      <c r="BD275" s="470">
        <f>((BY275/I275/Efficiency)*AU275/Cin+(BY275/I275/Efficiency)*RCinEsr)*1000</f>
        <v>0</v>
      </c>
      <c r="CD275" s="577">
        <f t="shared" si="422"/>
        <v>-50</v>
      </c>
      <c r="CE275">
        <f t="shared" si="423"/>
        <v>-50</v>
      </c>
    </row>
    <row r="276" spans="5:83" x14ac:dyDescent="0.2">
      <c r="E276" s="175">
        <v>59</v>
      </c>
      <c r="F276" s="222">
        <f t="shared" si="424"/>
        <v>0.47199999999999998</v>
      </c>
      <c r="G276" s="222"/>
      <c r="H276" s="222">
        <f t="shared" si="395"/>
        <v>5.6639999999999997</v>
      </c>
      <c r="I276" s="556">
        <f t="shared" si="396"/>
        <v>42</v>
      </c>
      <c r="J276" s="452">
        <f t="shared" si="397"/>
        <v>12.25</v>
      </c>
      <c r="K276" s="452">
        <f t="shared" si="398"/>
        <v>54.25</v>
      </c>
      <c r="L276" s="452"/>
      <c r="M276" s="222">
        <f t="shared" si="399"/>
        <v>0.22580645161290322</v>
      </c>
      <c r="N276" s="177">
        <f t="shared" si="400"/>
        <v>18.469838709677418</v>
      </c>
      <c r="O276" s="177">
        <f t="shared" si="425"/>
        <v>5.6639999999999997</v>
      </c>
      <c r="P276" s="222">
        <f t="shared" si="401"/>
        <v>1.5391532258064515</v>
      </c>
      <c r="Q276" s="222">
        <f t="shared" si="402"/>
        <v>12</v>
      </c>
      <c r="R276" s="222"/>
      <c r="S276" s="177">
        <f t="shared" si="403"/>
        <v>131.37426405122423</v>
      </c>
      <c r="T276" s="177">
        <f t="shared" si="404"/>
        <v>12</v>
      </c>
      <c r="U276" s="222">
        <f t="shared" si="405"/>
        <v>1.2573147153598281</v>
      </c>
      <c r="V276" s="222">
        <f t="shared" si="406"/>
        <v>0.20955245255997132</v>
      </c>
      <c r="W276" s="222">
        <f t="shared" si="407"/>
        <v>0.71846555163418735</v>
      </c>
      <c r="X276" s="202">
        <f t="shared" si="408"/>
        <v>350</v>
      </c>
      <c r="Y276" s="452">
        <f t="shared" si="375"/>
        <v>350</v>
      </c>
      <c r="AA276" s="222">
        <f t="shared" si="409"/>
        <v>3.8709677419354835</v>
      </c>
      <c r="AB276" s="178">
        <f t="shared" si="410"/>
        <v>2.2119815668202762</v>
      </c>
      <c r="AC276" s="178">
        <f t="shared" si="411"/>
        <v>1.4984391259105099</v>
      </c>
      <c r="AD276" s="178"/>
      <c r="AE276" s="178">
        <f t="shared" si="412"/>
        <v>0.46857142857142853</v>
      </c>
      <c r="AF276" s="560">
        <f>MAX(12000,F276/(0.5*AE276/1000000*Isw_min*Nps))/1000</f>
        <v>2456.8709101725171</v>
      </c>
      <c r="AG276" s="543">
        <f t="shared" si="413"/>
        <v>6.723999999999998E-2</v>
      </c>
      <c r="AI276" s="178">
        <f t="shared" si="414"/>
        <v>2.1725560982400429</v>
      </c>
      <c r="AJ276" s="178">
        <f t="shared" si="415"/>
        <v>2.1725560982400429</v>
      </c>
      <c r="AK276" s="178">
        <f t="shared" si="416"/>
        <v>2.2018934061037356</v>
      </c>
      <c r="AM276" s="560">
        <f t="shared" si="417"/>
        <v>472</v>
      </c>
      <c r="AN276" s="470">
        <f t="shared" si="418"/>
        <v>350</v>
      </c>
      <c r="AP276">
        <f t="shared" si="419"/>
        <v>472</v>
      </c>
      <c r="AQ276">
        <f t="shared" si="420"/>
        <v>350</v>
      </c>
      <c r="AS276" s="6">
        <f t="shared" si="426"/>
        <v>2.8571428571428572</v>
      </c>
      <c r="AT276" s="6">
        <f t="shared" si="421"/>
        <v>0.36209268304000714</v>
      </c>
      <c r="AU276" s="6">
        <f t="shared" si="393"/>
        <v>2.4950501741028499</v>
      </c>
      <c r="AV276" s="6"/>
      <c r="AW276" s="178">
        <f t="shared" si="394"/>
        <v>0.1267324390640025</v>
      </c>
      <c r="AX276" s="178"/>
      <c r="BA276" s="470">
        <f>L*Isw_max^2/(2*Vout_ripple*Vout)*1000000000*((1+M276)/2)^2</f>
        <v>15.348186929124752</v>
      </c>
      <c r="BB276" s="470">
        <f>L*F276^2/(2*Cout*Vout*Nps^2)*1000000000*((1+M276)/(1-M276))^2+F276*RCoutEsr</f>
        <v>4.8819129235618597</v>
      </c>
      <c r="BC276" s="6">
        <f t="shared" si="392"/>
        <v>0.52471787565649464</v>
      </c>
      <c r="BD276" s="470">
        <f>((BY276/I276/Efficiency)*AU276/Cin+(BY276/I276/Efficiency)*RCinEsr)*1000</f>
        <v>0</v>
      </c>
      <c r="CD276" s="577">
        <f t="shared" si="422"/>
        <v>-50</v>
      </c>
      <c r="CE276">
        <f t="shared" si="423"/>
        <v>-50</v>
      </c>
    </row>
    <row r="277" spans="5:83" x14ac:dyDescent="0.2">
      <c r="E277" s="175">
        <v>60</v>
      </c>
      <c r="F277" s="222">
        <f t="shared" si="424"/>
        <v>0.48</v>
      </c>
      <c r="G277" s="222"/>
      <c r="H277" s="222">
        <f t="shared" si="395"/>
        <v>5.76</v>
      </c>
      <c r="I277" s="556">
        <f t="shared" si="396"/>
        <v>42</v>
      </c>
      <c r="J277" s="452">
        <f t="shared" si="397"/>
        <v>12.25</v>
      </c>
      <c r="K277" s="452">
        <f t="shared" si="398"/>
        <v>54.25</v>
      </c>
      <c r="L277" s="452"/>
      <c r="M277" s="222">
        <f t="shared" si="399"/>
        <v>0.22580645161290322</v>
      </c>
      <c r="N277" s="177">
        <f t="shared" si="400"/>
        <v>18.469838709677418</v>
      </c>
      <c r="O277" s="177">
        <f t="shared" si="425"/>
        <v>5.76</v>
      </c>
      <c r="P277" s="222">
        <f t="shared" si="401"/>
        <v>1.5391532258064515</v>
      </c>
      <c r="Q277" s="222">
        <f t="shared" si="402"/>
        <v>12</v>
      </c>
      <c r="R277" s="222"/>
      <c r="S277" s="177">
        <f t="shared" si="403"/>
        <v>128.48781111952417</v>
      </c>
      <c r="T277" s="177">
        <f t="shared" si="404"/>
        <v>12</v>
      </c>
      <c r="U277" s="222">
        <f t="shared" si="405"/>
        <v>1.2786251342642319</v>
      </c>
      <c r="V277" s="222">
        <f t="shared" si="406"/>
        <v>0.21310418904403863</v>
      </c>
      <c r="W277" s="222">
        <f t="shared" si="407"/>
        <v>0.73064293386527535</v>
      </c>
      <c r="X277" s="202">
        <f t="shared" si="408"/>
        <v>350</v>
      </c>
      <c r="Y277" s="452">
        <f t="shared" ref="Y277:Y317" si="427">MIN(1/(V277+W277)*1000, 350)</f>
        <v>350</v>
      </c>
      <c r="AA277" s="222">
        <f t="shared" si="409"/>
        <v>3.8709677419354835</v>
      </c>
      <c r="AB277" s="178">
        <f t="shared" si="410"/>
        <v>2.2119815668202762</v>
      </c>
      <c r="AC277" s="178">
        <f t="shared" si="411"/>
        <v>1.4984391259105099</v>
      </c>
      <c r="AD277" s="178"/>
      <c r="AE277" s="178">
        <f t="shared" si="412"/>
        <v>0.46857142857142853</v>
      </c>
      <c r="AF277" s="560">
        <f>MAX(12000,F277/(0.5*AE277/1000000*Isw_min*Nps))/1000</f>
        <v>2498.5127900059492</v>
      </c>
      <c r="AG277" s="543">
        <f t="shared" si="413"/>
        <v>6.723999999999998E-2</v>
      </c>
      <c r="AI277" s="178">
        <f t="shared" si="414"/>
        <v>2.1908902300206643</v>
      </c>
      <c r="AJ277" s="178">
        <f t="shared" si="415"/>
        <v>2.1908902300206643</v>
      </c>
      <c r="AK277" s="178">
        <f t="shared" si="416"/>
        <v>2.2154742444597515</v>
      </c>
      <c r="AM277" s="560">
        <f t="shared" si="417"/>
        <v>480</v>
      </c>
      <c r="AN277" s="470">
        <f t="shared" si="418"/>
        <v>350</v>
      </c>
      <c r="AP277">
        <f t="shared" si="419"/>
        <v>480</v>
      </c>
      <c r="AQ277">
        <f t="shared" si="420"/>
        <v>350</v>
      </c>
      <c r="AS277" s="6">
        <f t="shared" si="426"/>
        <v>2.8571428571428572</v>
      </c>
      <c r="AT277" s="6">
        <f t="shared" si="421"/>
        <v>0.36514837167011072</v>
      </c>
      <c r="AU277" s="6">
        <f t="shared" si="393"/>
        <v>2.4919944854727465</v>
      </c>
      <c r="AV277" s="6"/>
      <c r="AW277" s="178">
        <f t="shared" si="394"/>
        <v>0.12780193008453875</v>
      </c>
      <c r="AX277" s="178"/>
      <c r="BA277" s="470">
        <f>L*Isw_max^2/(2*Vout_ripple*Vout)*1000000000*((1+M277)/2)^2</f>
        <v>15.348186929124752</v>
      </c>
      <c r="BB277" s="470">
        <f>L*F277^2/(2*Cout*Vout*Nps^2)*1000000000*((1+M277)/(1-M277))^2+F277*RCoutEsr</f>
        <v>5.0243971631205682</v>
      </c>
      <c r="BC277" s="6">
        <f t="shared" si="392"/>
        <v>0.53295788494655227</v>
      </c>
      <c r="BD277" s="470">
        <f>((BY277/I277/Efficiency)*AU277/Cin+(BY277/I277/Efficiency)*RCinEsr)*1000</f>
        <v>0</v>
      </c>
      <c r="CD277" s="577">
        <f t="shared" si="422"/>
        <v>-50</v>
      </c>
      <c r="CE277">
        <f t="shared" si="423"/>
        <v>-50</v>
      </c>
    </row>
    <row r="278" spans="5:83" x14ac:dyDescent="0.2">
      <c r="E278" s="175">
        <v>61</v>
      </c>
      <c r="F278" s="222">
        <f t="shared" si="424"/>
        <v>0.48799999999999999</v>
      </c>
      <c r="G278" s="222"/>
      <c r="H278" s="222">
        <f t="shared" si="395"/>
        <v>5.8559999999999999</v>
      </c>
      <c r="I278" s="556">
        <f t="shared" si="396"/>
        <v>42</v>
      </c>
      <c r="J278" s="452">
        <f t="shared" si="397"/>
        <v>12.25</v>
      </c>
      <c r="K278" s="452">
        <f t="shared" si="398"/>
        <v>54.25</v>
      </c>
      <c r="L278" s="452"/>
      <c r="M278" s="222">
        <f t="shared" si="399"/>
        <v>0.22580645161290322</v>
      </c>
      <c r="N278" s="177">
        <f t="shared" si="400"/>
        <v>18.469838709677418</v>
      </c>
      <c r="O278" s="177">
        <f t="shared" si="425"/>
        <v>5.8559999999999999</v>
      </c>
      <c r="P278" s="222">
        <f t="shared" si="401"/>
        <v>1.5391532258064515</v>
      </c>
      <c r="Q278" s="222">
        <f t="shared" si="402"/>
        <v>12</v>
      </c>
      <c r="R278" s="222"/>
      <c r="S278" s="177">
        <f t="shared" si="403"/>
        <v>125.69607393202574</v>
      </c>
      <c r="T278" s="177">
        <f t="shared" si="404"/>
        <v>12</v>
      </c>
      <c r="U278" s="222">
        <f t="shared" si="405"/>
        <v>1.2999355531686358</v>
      </c>
      <c r="V278" s="222">
        <f t="shared" si="406"/>
        <v>0.21665592552810595</v>
      </c>
      <c r="W278" s="222">
        <f t="shared" si="407"/>
        <v>0.74282031609636323</v>
      </c>
      <c r="X278" s="202">
        <f t="shared" si="408"/>
        <v>350</v>
      </c>
      <c r="Y278" s="452">
        <f t="shared" si="427"/>
        <v>350</v>
      </c>
      <c r="AA278" s="222">
        <f t="shared" si="409"/>
        <v>3.8709677419354835</v>
      </c>
      <c r="AB278" s="178">
        <f t="shared" si="410"/>
        <v>2.2119815668202762</v>
      </c>
      <c r="AC278" s="178">
        <f t="shared" si="411"/>
        <v>1.4984391259105099</v>
      </c>
      <c r="AD278" s="178"/>
      <c r="AE278" s="178">
        <f t="shared" si="412"/>
        <v>0.46857142857142853</v>
      </c>
      <c r="AF278" s="560">
        <f>MAX(12000,F278/(0.5*AE278/1000000*Isw_min*Nps))/1000</f>
        <v>2540.1546698393818</v>
      </c>
      <c r="AG278" s="543">
        <f t="shared" si="413"/>
        <v>6.723999999999998E-2</v>
      </c>
      <c r="AI278" s="178">
        <f t="shared" si="414"/>
        <v>2.2090722034374521</v>
      </c>
      <c r="AJ278" s="178">
        <f t="shared" si="415"/>
        <v>2.2090722034374521</v>
      </c>
      <c r="AK278" s="178">
        <f t="shared" si="416"/>
        <v>2.2289423729166313</v>
      </c>
      <c r="AM278" s="560">
        <f t="shared" si="417"/>
        <v>488</v>
      </c>
      <c r="AN278" s="470">
        <f t="shared" si="418"/>
        <v>350</v>
      </c>
      <c r="AP278">
        <f t="shared" si="419"/>
        <v>488</v>
      </c>
      <c r="AQ278">
        <f t="shared" si="420"/>
        <v>350</v>
      </c>
      <c r="AS278" s="6">
        <f t="shared" si="426"/>
        <v>2.8571428571428572</v>
      </c>
      <c r="AT278" s="6">
        <f t="shared" si="421"/>
        <v>0.36817870057290869</v>
      </c>
      <c r="AU278" s="6">
        <f t="shared" si="393"/>
        <v>2.4889641565699483</v>
      </c>
      <c r="AV278" s="6"/>
      <c r="AW278" s="178">
        <f t="shared" si="394"/>
        <v>0.12886254520051804</v>
      </c>
      <c r="AX278" s="178"/>
      <c r="BA278" s="470">
        <f>L*Isw_max^2/(2*Vout_ripple*Vout)*1000000000*((1+M278)/2)^2</f>
        <v>15.348186929124752</v>
      </c>
      <c r="BB278" s="470">
        <f>L*F278^2/(2*Cout*Vout*Nps^2)*1000000000*((1+M278)/(1-M278))^2+F278*RCoutEsr</f>
        <v>5.1688727344365653</v>
      </c>
      <c r="BC278" s="6">
        <f t="shared" si="392"/>
        <v>0.54118162446388629</v>
      </c>
      <c r="BD278" s="470">
        <f>((BY278/I278/Efficiency)*AU278/Cin+(BY278/I278/Efficiency)*RCinEsr)*1000</f>
        <v>0</v>
      </c>
      <c r="CD278" s="577">
        <f t="shared" si="422"/>
        <v>-50</v>
      </c>
      <c r="CE278">
        <f t="shared" si="423"/>
        <v>-50</v>
      </c>
    </row>
    <row r="279" spans="5:83" x14ac:dyDescent="0.2">
      <c r="E279" s="175">
        <v>62</v>
      </c>
      <c r="F279" s="222">
        <f t="shared" si="424"/>
        <v>0.496</v>
      </c>
      <c r="G279" s="222"/>
      <c r="H279" s="222">
        <f t="shared" si="395"/>
        <v>5.952</v>
      </c>
      <c r="I279" s="556">
        <f t="shared" si="396"/>
        <v>42</v>
      </c>
      <c r="J279" s="452">
        <f t="shared" si="397"/>
        <v>12.25</v>
      </c>
      <c r="K279" s="452">
        <f t="shared" si="398"/>
        <v>54.25</v>
      </c>
      <c r="L279" s="452"/>
      <c r="M279" s="222">
        <f t="shared" si="399"/>
        <v>0.22580645161290322</v>
      </c>
      <c r="N279" s="177">
        <f t="shared" si="400"/>
        <v>18.469838709677418</v>
      </c>
      <c r="O279" s="177">
        <f t="shared" si="425"/>
        <v>5.952</v>
      </c>
      <c r="P279" s="222">
        <f t="shared" si="401"/>
        <v>1.5391532258064515</v>
      </c>
      <c r="Q279" s="222">
        <f t="shared" si="402"/>
        <v>12</v>
      </c>
      <c r="R279" s="222"/>
      <c r="S279" s="177">
        <f t="shared" si="403"/>
        <v>122.99447071343455</v>
      </c>
      <c r="T279" s="177">
        <f t="shared" si="404"/>
        <v>12</v>
      </c>
      <c r="U279" s="222">
        <f t="shared" si="405"/>
        <v>1.3212459720730396</v>
      </c>
      <c r="V279" s="222">
        <f t="shared" si="406"/>
        <v>0.22020766201217326</v>
      </c>
      <c r="W279" s="222">
        <f t="shared" si="407"/>
        <v>0.75499769832745123</v>
      </c>
      <c r="X279" s="202">
        <f t="shared" si="408"/>
        <v>350</v>
      </c>
      <c r="Y279" s="452">
        <f t="shared" si="427"/>
        <v>350</v>
      </c>
      <c r="AA279" s="222">
        <f t="shared" si="409"/>
        <v>3.8709677419354835</v>
      </c>
      <c r="AB279" s="178">
        <f t="shared" si="410"/>
        <v>2.2119815668202762</v>
      </c>
      <c r="AC279" s="178">
        <f t="shared" si="411"/>
        <v>1.4984391259105099</v>
      </c>
      <c r="AD279" s="178"/>
      <c r="AE279" s="178">
        <f t="shared" si="412"/>
        <v>0.46857142857142853</v>
      </c>
      <c r="AF279" s="560">
        <f>MAX(12000,F279/(0.5*AE279/1000000*Isw_min*Nps))/1000</f>
        <v>2581.7965496728143</v>
      </c>
      <c r="AG279" s="543">
        <f t="shared" si="413"/>
        <v>6.723999999999998E-2</v>
      </c>
      <c r="AI279" s="178">
        <f t="shared" si="414"/>
        <v>2.2271057451320089</v>
      </c>
      <c r="AJ279" s="178">
        <f t="shared" si="415"/>
        <v>2.2271057451320089</v>
      </c>
      <c r="AK279" s="178">
        <f t="shared" si="416"/>
        <v>2.2423005519496364</v>
      </c>
      <c r="AM279" s="560">
        <f t="shared" si="417"/>
        <v>496</v>
      </c>
      <c r="AN279" s="470">
        <f t="shared" si="418"/>
        <v>350</v>
      </c>
      <c r="AP279">
        <f t="shared" si="419"/>
        <v>496</v>
      </c>
      <c r="AQ279">
        <f t="shared" si="420"/>
        <v>350</v>
      </c>
      <c r="AS279" s="6">
        <f t="shared" si="426"/>
        <v>2.8571428571428572</v>
      </c>
      <c r="AT279" s="6">
        <f t="shared" si="421"/>
        <v>0.37118429085533478</v>
      </c>
      <c r="AU279" s="6">
        <f t="shared" si="393"/>
        <v>2.4859585662875223</v>
      </c>
      <c r="AV279" s="6"/>
      <c r="AW279" s="178">
        <f t="shared" si="394"/>
        <v>0.12991450179936717</v>
      </c>
      <c r="AX279" s="178"/>
      <c r="BA279" s="470">
        <f>L*Isw_max^2/(2*Vout_ripple*Vout)*1000000000*((1+M279)/2)^2</f>
        <v>15.348186929124752</v>
      </c>
      <c r="BB279" s="470">
        <f>L*F279^2/(2*Cout*Vout*Nps^2)*1000000000*((1+M279)/(1-M279))^2+F279*RCoutEsr</f>
        <v>5.3153396375098509</v>
      </c>
      <c r="BC279" s="6">
        <f t="shared" si="392"/>
        <v>0.54938922812747915</v>
      </c>
      <c r="BD279" s="470">
        <f>((BY279/I279/Efficiency)*AU279/Cin+(BY279/I279/Efficiency)*RCinEsr)*1000</f>
        <v>0</v>
      </c>
      <c r="CD279" s="577">
        <f t="shared" si="422"/>
        <v>-50</v>
      </c>
      <c r="CE279">
        <f t="shared" si="423"/>
        <v>-50</v>
      </c>
    </row>
    <row r="280" spans="5:83" x14ac:dyDescent="0.2">
      <c r="E280" s="175">
        <v>63</v>
      </c>
      <c r="F280" s="222">
        <f t="shared" si="424"/>
        <v>0.504</v>
      </c>
      <c r="G280" s="222"/>
      <c r="H280" s="222">
        <f t="shared" si="395"/>
        <v>6.048</v>
      </c>
      <c r="I280" s="556">
        <f t="shared" si="396"/>
        <v>42</v>
      </c>
      <c r="J280" s="452">
        <f t="shared" si="397"/>
        <v>12.25</v>
      </c>
      <c r="K280" s="452">
        <f t="shared" si="398"/>
        <v>54.25</v>
      </c>
      <c r="L280" s="452"/>
      <c r="M280" s="222">
        <f t="shared" si="399"/>
        <v>0.22580645161290322</v>
      </c>
      <c r="N280" s="177">
        <f t="shared" si="400"/>
        <v>18.469838709677418</v>
      </c>
      <c r="O280" s="177">
        <f t="shared" si="425"/>
        <v>6.048</v>
      </c>
      <c r="P280" s="222">
        <f t="shared" si="401"/>
        <v>1.5391532258064515</v>
      </c>
      <c r="Q280" s="222">
        <f t="shared" si="402"/>
        <v>12</v>
      </c>
      <c r="R280" s="222"/>
      <c r="S280" s="177">
        <f t="shared" si="403"/>
        <v>120.37871062117738</v>
      </c>
      <c r="T280" s="177">
        <f t="shared" si="404"/>
        <v>12</v>
      </c>
      <c r="U280" s="222">
        <f t="shared" si="405"/>
        <v>1.3425563909774436</v>
      </c>
      <c r="V280" s="222">
        <f t="shared" si="406"/>
        <v>0.22375939849624057</v>
      </c>
      <c r="W280" s="222">
        <f t="shared" si="407"/>
        <v>0.76717508055853922</v>
      </c>
      <c r="X280" s="202">
        <f t="shared" si="408"/>
        <v>350</v>
      </c>
      <c r="Y280" s="452">
        <f t="shared" si="427"/>
        <v>350</v>
      </c>
      <c r="AA280" s="222">
        <f t="shared" si="409"/>
        <v>3.8709677419354835</v>
      </c>
      <c r="AB280" s="178">
        <f t="shared" si="410"/>
        <v>2.2119815668202762</v>
      </c>
      <c r="AC280" s="178">
        <f t="shared" si="411"/>
        <v>1.4984391259105099</v>
      </c>
      <c r="AD280" s="178"/>
      <c r="AE280" s="178">
        <f t="shared" si="412"/>
        <v>0.46857142857142853</v>
      </c>
      <c r="AF280" s="560">
        <f>MAX(12000,F280/(0.5*AE280/1000000*Isw_min*Nps))/1000</f>
        <v>2623.4384295062468</v>
      </c>
      <c r="AG280" s="543">
        <f t="shared" si="413"/>
        <v>6.723999999999998E-2</v>
      </c>
      <c r="AI280" s="178">
        <f t="shared" si="414"/>
        <v>2.2449944320643649</v>
      </c>
      <c r="AJ280" s="178">
        <f t="shared" si="415"/>
        <v>2.2449944320643649</v>
      </c>
      <c r="AK280" s="178">
        <f t="shared" si="416"/>
        <v>2.2555514311587888</v>
      </c>
      <c r="AM280" s="560">
        <f t="shared" si="417"/>
        <v>504</v>
      </c>
      <c r="AN280" s="470">
        <f t="shared" si="418"/>
        <v>350</v>
      </c>
      <c r="AP280">
        <f t="shared" si="419"/>
        <v>504</v>
      </c>
      <c r="AQ280">
        <f t="shared" si="420"/>
        <v>350</v>
      </c>
      <c r="AS280" s="6">
        <f t="shared" si="426"/>
        <v>2.8571428571428572</v>
      </c>
      <c r="AT280" s="6">
        <f t="shared" si="421"/>
        <v>0.37416573867739411</v>
      </c>
      <c r="AU280" s="6">
        <f t="shared" si="393"/>
        <v>2.4829771184654632</v>
      </c>
      <c r="AV280" s="6"/>
      <c r="AW280" s="178">
        <f t="shared" si="394"/>
        <v>0.13095800853708794</v>
      </c>
      <c r="AX280" s="178"/>
      <c r="BA280" s="470">
        <f>L*Isw_max^2/(2*Vout_ripple*Vout)*1000000000*((1+M280)/2)^2</f>
        <v>15.348186929124752</v>
      </c>
      <c r="BB280" s="470">
        <f>L*F280^2/(2*Cout*Vout*Nps^2)*1000000000*((1+M280)/(1-M280))^2+F280*RCoutEsr</f>
        <v>5.463797872340427</v>
      </c>
      <c r="BC280" s="6">
        <f t="shared" si="392"/>
        <v>0.55758082660277075</v>
      </c>
      <c r="BD280" s="470">
        <f>((BY280/I280/Efficiency)*AU280/Cin+(BY280/I280/Efficiency)*RCinEsr)*1000</f>
        <v>0</v>
      </c>
      <c r="CD280" s="577">
        <f t="shared" si="422"/>
        <v>-50</v>
      </c>
      <c r="CE280">
        <f t="shared" si="423"/>
        <v>-50</v>
      </c>
    </row>
    <row r="281" spans="5:83" x14ac:dyDescent="0.2">
      <c r="E281" s="175">
        <v>64</v>
      </c>
      <c r="F281" s="222">
        <f t="shared" si="424"/>
        <v>0.51200000000000001</v>
      </c>
      <c r="G281" s="222"/>
      <c r="H281" s="222">
        <f t="shared" ref="H281:H312" si="428">F281*Vout</f>
        <v>6.1440000000000001</v>
      </c>
      <c r="I281" s="556">
        <f t="shared" ref="I281:I317" si="429">VIN_max</f>
        <v>42</v>
      </c>
      <c r="J281" s="452">
        <f t="shared" ref="J281:J317" si="430">(T281+Vfwd1)*Nps</f>
        <v>12.25</v>
      </c>
      <c r="K281" s="452">
        <f t="shared" ref="K281:K317" si="431">(Vout+Vfwd1)*Nps+I281</f>
        <v>54.25</v>
      </c>
      <c r="L281" s="452"/>
      <c r="M281" s="222">
        <f t="shared" ref="M281:M317" si="432">(Vout+Vfwd1)*Nps/((Vout+Vfwd1)*Nps+I281)</f>
        <v>0.22580645161290322</v>
      </c>
      <c r="N281" s="177">
        <f t="shared" ref="N281:N312" si="433">M281*I281*Isw_max*0.5*Efficiency</f>
        <v>18.469838709677418</v>
      </c>
      <c r="O281" s="177">
        <f t="shared" si="425"/>
        <v>6.1440000000000001</v>
      </c>
      <c r="P281" s="222">
        <f t="shared" ref="P281:P312" si="434">N281/Vout</f>
        <v>1.5391532258064515</v>
      </c>
      <c r="Q281" s="222">
        <f t="shared" ref="Q281:Q317" si="435">MIN(Vout,N281/F281)</f>
        <v>12</v>
      </c>
      <c r="R281" s="222"/>
      <c r="S281" s="177">
        <f t="shared" ref="S281:S317" si="436">(SQRT(Isw_max^2*Nps^2*I281^2+4*Isw_max*F281/Efficiency*(Nps^2*Vfwd1*I281-Nps*I281^2)+4*(F281/Efficiency)^2*Nps^2*Vfwd1^2+8*(F281/Efficiency)^2*Nps*Vfwd1*I281+4*(F281/Efficiency)^2*I281^2)-2*F281/Efficiency*I281-2*F281/Efficiency*Nps*Vfwd1+Isw_max*Nps*I281)/(4*F281/Efficiency*Nps)</f>
        <v>117.84477101697685</v>
      </c>
      <c r="T281" s="177">
        <f t="shared" ref="T281:T312" si="437">MIN(Vout, S281)</f>
        <v>12</v>
      </c>
      <c r="U281" s="222">
        <f t="shared" ref="U281:U317" si="438">MIN(2*Vout*F281/(Efficiency*I281*M281), Isw_max)</f>
        <v>1.3638668098818474</v>
      </c>
      <c r="V281" s="222">
        <f t="shared" ref="V281:V312" si="439">L*U281/I281*1000000</f>
        <v>0.22731113498030789</v>
      </c>
      <c r="W281" s="222">
        <f t="shared" ref="W281:W317" si="440">L*U281/J281*1000000</f>
        <v>0.77935246278962711</v>
      </c>
      <c r="X281" s="202">
        <f t="shared" ref="X281:X317" si="441">IF(1/((350000*L)*(1/I281+1/J281))&gt;Isw_min, 350, 0.001/((Isw_min*L)*(1/I281+1/J281)))</f>
        <v>350</v>
      </c>
      <c r="Y281" s="452">
        <f t="shared" si="427"/>
        <v>350</v>
      </c>
      <c r="AA281" s="222">
        <f t="shared" ref="AA281:AA317" si="442">1/((X281*1000*L)*(1/I281+1/J281))</f>
        <v>3.8709677419354835</v>
      </c>
      <c r="AB281" s="178">
        <f t="shared" ref="AB281:AB312" si="443">L*AA281/J281*1000000</f>
        <v>2.2119815668202762</v>
      </c>
      <c r="AC281" s="178">
        <f t="shared" ref="AC281:AC312" si="444">0.5*AB281*AA281*Nps*X281/1000</f>
        <v>1.4984391259105099</v>
      </c>
      <c r="AD281" s="178"/>
      <c r="AE281" s="178">
        <f t="shared" ref="AE281:AE317" si="445">L*Isw_min/J281*1000000</f>
        <v>0.46857142857142853</v>
      </c>
      <c r="AF281" s="560">
        <f>MAX(12000,F281/(0.5*AE281/1000000*Isw_min*Nps))/1000</f>
        <v>2665.0803093396794</v>
      </c>
      <c r="AG281" s="543">
        <f t="shared" ref="AG281:AG317" si="446">0.5*AE281/1000000*Isw_min*Nps*X281*1000</f>
        <v>6.723999999999998E-2</v>
      </c>
      <c r="AI281" s="178">
        <f t="shared" ref="AI281:AI317" si="447">SQRT(F281/(0.5*L/J281*Fsw_DCM*Nps))</f>
        <v>2.2627416997969521</v>
      </c>
      <c r="AJ281" s="178">
        <f t="shared" ref="AJ281:AJ312" si="448">MAX(IF(F281&gt;AC281,U281,AI281),Isw_min)</f>
        <v>2.2627416997969521</v>
      </c>
      <c r="AK281" s="178">
        <f t="shared" ref="AK281:AK312" si="449">IF(F281&gt;AG281, (AJ281-Isw_min)/1.08*0.8+1.2, AF281*0.2/350+1)</f>
        <v>2.2686975554051498</v>
      </c>
      <c r="AM281" s="560">
        <f t="shared" ref="AM281:AM317" si="450">F281*1000</f>
        <v>512</v>
      </c>
      <c r="AN281" s="470">
        <f t="shared" ref="AN281:AN317" si="451">IF(F281&gt;AG281, Y281, AF281)</f>
        <v>350</v>
      </c>
      <c r="AP281">
        <f t="shared" ref="AP281:AP317" si="452">IF(H281&gt;N281, "",AM281)</f>
        <v>512</v>
      </c>
      <c r="AQ281">
        <f t="shared" ref="AQ281:AQ317" si="453">IF(H281&gt;N281, "",AN281)</f>
        <v>350</v>
      </c>
      <c r="AS281" s="6">
        <f t="shared" si="426"/>
        <v>2.8571428571428572</v>
      </c>
      <c r="AT281" s="6">
        <f t="shared" ref="AT281:AT317" si="454">L*AJ281/I281*1000000</f>
        <v>0.37712361663282534</v>
      </c>
      <c r="AU281" s="6">
        <f t="shared" si="393"/>
        <v>2.4800192405100319</v>
      </c>
      <c r="AV281" s="6"/>
      <c r="AW281" s="178">
        <f t="shared" si="394"/>
        <v>0.13199326582148888</v>
      </c>
      <c r="AX281" s="178"/>
      <c r="BA281" s="470">
        <f>L*Isw_max^2/(2*Vout_ripple*Vout)*1000000000*((1+M281)/2)^2</f>
        <v>15.348186929124752</v>
      </c>
      <c r="BB281" s="470">
        <f>L*F281^2/(2*Cout*Vout*Nps^2)*1000000000*((1+M281)/(1-M281))^2+F281*RCoutEsr</f>
        <v>5.6142474389282917</v>
      </c>
      <c r="BC281" s="6">
        <f t="shared" si="392"/>
        <v>0.56575654743130555</v>
      </c>
      <c r="BD281" s="470">
        <f>((BY281/I281/Efficiency)*AU281/Cin+(BY281/I281/Efficiency)*RCinEsr)*1000</f>
        <v>0</v>
      </c>
      <c r="CD281" s="577">
        <f t="shared" ref="CD281:CD317" si="455">IF(ABS(F281-Ioutmax_Vinmax)&lt;Iout/200, AN281, -50)</f>
        <v>-50</v>
      </c>
      <c r="CE281">
        <f t="shared" ref="CE281:CE317" si="456">IF(ABS(F281-Ioutmax_Vinmin)&lt;Iout/200, N281*BZ281, -50)</f>
        <v>-50</v>
      </c>
    </row>
    <row r="282" spans="5:83" x14ac:dyDescent="0.2">
      <c r="E282" s="175">
        <v>65</v>
      </c>
      <c r="F282" s="222">
        <f t="shared" ref="F282:F313" si="457">IF(PLOT_TYPE=1, E282/100*Iout_max, min_I*EXP(N282*rr/100))</f>
        <v>0.52</v>
      </c>
      <c r="G282" s="222"/>
      <c r="H282" s="222">
        <f t="shared" si="428"/>
        <v>6.24</v>
      </c>
      <c r="I282" s="556">
        <f t="shared" si="429"/>
        <v>42</v>
      </c>
      <c r="J282" s="452">
        <f t="shared" si="430"/>
        <v>12.25</v>
      </c>
      <c r="K282" s="452">
        <f t="shared" si="431"/>
        <v>54.25</v>
      </c>
      <c r="L282" s="452"/>
      <c r="M282" s="222">
        <f t="shared" si="432"/>
        <v>0.22580645161290322</v>
      </c>
      <c r="N282" s="177">
        <f t="shared" si="433"/>
        <v>18.469838709677418</v>
      </c>
      <c r="O282" s="177">
        <f t="shared" si="425"/>
        <v>6.24</v>
      </c>
      <c r="P282" s="222">
        <f t="shared" si="434"/>
        <v>1.5391532258064515</v>
      </c>
      <c r="Q282" s="222">
        <f t="shared" si="435"/>
        <v>12</v>
      </c>
      <c r="R282" s="222"/>
      <c r="S282" s="177">
        <f t="shared" si="436"/>
        <v>115.38887683645595</v>
      </c>
      <c r="T282" s="177">
        <f t="shared" si="437"/>
        <v>12</v>
      </c>
      <c r="U282" s="222">
        <f t="shared" si="438"/>
        <v>1.3851772287862514</v>
      </c>
      <c r="V282" s="222">
        <f t="shared" si="439"/>
        <v>0.23086287146437523</v>
      </c>
      <c r="W282" s="222">
        <f t="shared" si="440"/>
        <v>0.79152984502071511</v>
      </c>
      <c r="X282" s="202">
        <f t="shared" si="441"/>
        <v>350</v>
      </c>
      <c r="Y282" s="452">
        <f t="shared" si="427"/>
        <v>350</v>
      </c>
      <c r="AA282" s="222">
        <f t="shared" si="442"/>
        <v>3.8709677419354835</v>
      </c>
      <c r="AB282" s="178">
        <f t="shared" si="443"/>
        <v>2.2119815668202762</v>
      </c>
      <c r="AC282" s="178">
        <f t="shared" si="444"/>
        <v>1.4984391259105099</v>
      </c>
      <c r="AD282" s="178"/>
      <c r="AE282" s="178">
        <f t="shared" si="445"/>
        <v>0.46857142857142853</v>
      </c>
      <c r="AF282" s="560">
        <f>MAX(12000,F282/(0.5*AE282/1000000*Isw_min*Nps))/1000</f>
        <v>2706.7221891731115</v>
      </c>
      <c r="AG282" s="543">
        <f t="shared" si="446"/>
        <v>6.723999999999998E-2</v>
      </c>
      <c r="AI282" s="178">
        <f t="shared" si="447"/>
        <v>2.2803508501982761</v>
      </c>
      <c r="AJ282" s="178">
        <f t="shared" si="448"/>
        <v>2.2803508501982761</v>
      </c>
      <c r="AK282" s="178">
        <f t="shared" si="449"/>
        <v>2.2817413705172416</v>
      </c>
      <c r="AM282" s="560">
        <f t="shared" si="450"/>
        <v>520</v>
      </c>
      <c r="AN282" s="470">
        <f t="shared" si="451"/>
        <v>350</v>
      </c>
      <c r="AP282">
        <f t="shared" si="452"/>
        <v>520</v>
      </c>
      <c r="AQ282">
        <f t="shared" si="453"/>
        <v>350</v>
      </c>
      <c r="AS282" s="6">
        <f t="shared" si="426"/>
        <v>2.8571428571428572</v>
      </c>
      <c r="AT282" s="6">
        <f t="shared" si="454"/>
        <v>0.38005847503304602</v>
      </c>
      <c r="AU282" s="6">
        <f t="shared" si="393"/>
        <v>2.477084382109811</v>
      </c>
      <c r="AV282" s="6"/>
      <c r="AW282" s="178">
        <f t="shared" si="394"/>
        <v>0.13302046626156611</v>
      </c>
      <c r="AX282" s="178"/>
      <c r="BA282" s="470">
        <f>L*Isw_max^2/(2*Vout_ripple*Vout)*1000000000*((1+M282)/2)^2</f>
        <v>15.348186929124752</v>
      </c>
      <c r="BB282" s="470">
        <f>L*F282^2/(2*Cout*Vout*Nps^2)*1000000000*((1+M282)/(1-M282))^2+F282*RCoutEsr</f>
        <v>5.766688337273445</v>
      </c>
      <c r="BC282" s="6">
        <f t="shared" si="392"/>
        <v>0.5739165151532617</v>
      </c>
      <c r="BD282" s="470">
        <f>((BY282/I282/Efficiency)*AU282/Cin+(BY282/I282/Efficiency)*RCinEsr)*1000</f>
        <v>0</v>
      </c>
      <c r="CD282" s="577">
        <f t="shared" si="455"/>
        <v>-50</v>
      </c>
      <c r="CE282">
        <f t="shared" si="456"/>
        <v>-50</v>
      </c>
    </row>
    <row r="283" spans="5:83" x14ac:dyDescent="0.2">
      <c r="E283" s="175">
        <v>66</v>
      </c>
      <c r="F283" s="222">
        <f t="shared" si="457"/>
        <v>0.52800000000000002</v>
      </c>
      <c r="G283" s="222"/>
      <c r="H283" s="222">
        <f t="shared" si="428"/>
        <v>6.3360000000000003</v>
      </c>
      <c r="I283" s="556">
        <f t="shared" si="429"/>
        <v>42</v>
      </c>
      <c r="J283" s="452">
        <f t="shared" si="430"/>
        <v>12.25</v>
      </c>
      <c r="K283" s="452">
        <f t="shared" si="431"/>
        <v>54.25</v>
      </c>
      <c r="L283" s="452"/>
      <c r="M283" s="222">
        <f t="shared" si="432"/>
        <v>0.22580645161290322</v>
      </c>
      <c r="N283" s="177">
        <f t="shared" si="433"/>
        <v>18.469838709677418</v>
      </c>
      <c r="O283" s="177">
        <f t="shared" si="425"/>
        <v>6.3360000000000003</v>
      </c>
      <c r="P283" s="222">
        <f t="shared" si="434"/>
        <v>1.5391532258064515</v>
      </c>
      <c r="Q283" s="222">
        <f t="shared" si="435"/>
        <v>12</v>
      </c>
      <c r="R283" s="222"/>
      <c r="S283" s="177">
        <f t="shared" si="436"/>
        <v>113.00748183425571</v>
      </c>
      <c r="T283" s="177">
        <f t="shared" si="437"/>
        <v>12</v>
      </c>
      <c r="U283" s="222">
        <f t="shared" si="438"/>
        <v>1.4064876476906554</v>
      </c>
      <c r="V283" s="222">
        <f t="shared" si="439"/>
        <v>0.23441460794844257</v>
      </c>
      <c r="W283" s="222">
        <f t="shared" si="440"/>
        <v>0.8037072272518031</v>
      </c>
      <c r="X283" s="202">
        <f t="shared" si="441"/>
        <v>350</v>
      </c>
      <c r="Y283" s="452">
        <f t="shared" si="427"/>
        <v>350</v>
      </c>
      <c r="AA283" s="222">
        <f t="shared" si="442"/>
        <v>3.8709677419354835</v>
      </c>
      <c r="AB283" s="178">
        <f t="shared" si="443"/>
        <v>2.2119815668202762</v>
      </c>
      <c r="AC283" s="178">
        <f t="shared" si="444"/>
        <v>1.4984391259105099</v>
      </c>
      <c r="AD283" s="178"/>
      <c r="AE283" s="178">
        <f t="shared" si="445"/>
        <v>0.46857142857142853</v>
      </c>
      <c r="AF283" s="560">
        <f>MAX(12000,F283/(0.5*AE283/1000000*Isw_min*Nps))/1000</f>
        <v>2748.3640690065445</v>
      </c>
      <c r="AG283" s="543">
        <f t="shared" si="446"/>
        <v>6.723999999999998E-2</v>
      </c>
      <c r="AI283" s="178">
        <f t="shared" si="447"/>
        <v>2.2978250586152114</v>
      </c>
      <c r="AJ283" s="178">
        <f t="shared" si="448"/>
        <v>2.2978250586152114</v>
      </c>
      <c r="AK283" s="178">
        <f t="shared" si="449"/>
        <v>2.2946852286038601</v>
      </c>
      <c r="AM283" s="560">
        <f t="shared" si="450"/>
        <v>528</v>
      </c>
      <c r="AN283" s="470">
        <f t="shared" si="451"/>
        <v>350</v>
      </c>
      <c r="AP283">
        <f t="shared" si="452"/>
        <v>528</v>
      </c>
      <c r="AQ283">
        <f t="shared" si="453"/>
        <v>350</v>
      </c>
      <c r="AS283" s="6">
        <f t="shared" si="426"/>
        <v>2.8571428571428572</v>
      </c>
      <c r="AT283" s="6">
        <f t="shared" si="454"/>
        <v>0.38297084310253521</v>
      </c>
      <c r="AU283" s="6">
        <f t="shared" si="393"/>
        <v>2.4741720140403221</v>
      </c>
      <c r="AV283" s="6"/>
      <c r="AW283" s="178">
        <f t="shared" si="394"/>
        <v>0.13403979508588731</v>
      </c>
      <c r="AX283" s="178"/>
      <c r="BA283" s="470">
        <f>L*Isw_max^2/(2*Vout_ripple*Vout)*1000000000*((1+M283)/2)^2</f>
        <v>15.348186929124752</v>
      </c>
      <c r="BB283" s="470">
        <f>L*F283^2/(2*Cout*Vout*Nps^2)*1000000000*((1+M283)/(1-M283))^2+F283*RCoutEsr</f>
        <v>5.9211205673758887</v>
      </c>
      <c r="BC283" s="6">
        <f t="shared" si="392"/>
        <v>0.58206085142335395</v>
      </c>
      <c r="BD283" s="470">
        <f>((BY283/I283/Efficiency)*AU283/Cin+(BY283/I283/Efficiency)*RCinEsr)*1000</f>
        <v>0</v>
      </c>
      <c r="CD283" s="577">
        <f t="shared" si="455"/>
        <v>-50</v>
      </c>
      <c r="CE283">
        <f t="shared" si="456"/>
        <v>-50</v>
      </c>
    </row>
    <row r="284" spans="5:83" x14ac:dyDescent="0.2">
      <c r="E284" s="175">
        <v>67</v>
      </c>
      <c r="F284" s="222">
        <f t="shared" si="457"/>
        <v>0.53600000000000003</v>
      </c>
      <c r="G284" s="222"/>
      <c r="H284" s="222">
        <f t="shared" si="428"/>
        <v>6.4320000000000004</v>
      </c>
      <c r="I284" s="556">
        <f t="shared" si="429"/>
        <v>42</v>
      </c>
      <c r="J284" s="452">
        <f t="shared" si="430"/>
        <v>12.25</v>
      </c>
      <c r="K284" s="452">
        <f t="shared" si="431"/>
        <v>54.25</v>
      </c>
      <c r="L284" s="452"/>
      <c r="M284" s="222">
        <f t="shared" si="432"/>
        <v>0.22580645161290322</v>
      </c>
      <c r="N284" s="177">
        <f t="shared" si="433"/>
        <v>18.469838709677418</v>
      </c>
      <c r="O284" s="177">
        <f t="shared" si="425"/>
        <v>6.4320000000000004</v>
      </c>
      <c r="P284" s="222">
        <f t="shared" si="434"/>
        <v>1.5391532258064515</v>
      </c>
      <c r="Q284" s="222">
        <f t="shared" si="435"/>
        <v>12</v>
      </c>
      <c r="R284" s="222"/>
      <c r="S284" s="177">
        <f t="shared" si="436"/>
        <v>110.69725150871696</v>
      </c>
      <c r="T284" s="177">
        <f t="shared" si="437"/>
        <v>12</v>
      </c>
      <c r="U284" s="222">
        <f t="shared" si="438"/>
        <v>1.4277980665950591</v>
      </c>
      <c r="V284" s="222">
        <f t="shared" si="439"/>
        <v>0.23796634443250986</v>
      </c>
      <c r="W284" s="222">
        <f t="shared" si="440"/>
        <v>0.81588460948289088</v>
      </c>
      <c r="X284" s="202">
        <f t="shared" si="441"/>
        <v>350</v>
      </c>
      <c r="Y284" s="452">
        <f t="shared" si="427"/>
        <v>350</v>
      </c>
      <c r="AA284" s="222">
        <f t="shared" si="442"/>
        <v>3.8709677419354835</v>
      </c>
      <c r="AB284" s="178">
        <f t="shared" si="443"/>
        <v>2.2119815668202762</v>
      </c>
      <c r="AC284" s="178">
        <f t="shared" si="444"/>
        <v>1.4984391259105099</v>
      </c>
      <c r="AD284" s="178"/>
      <c r="AE284" s="178">
        <f t="shared" si="445"/>
        <v>0.46857142857142853</v>
      </c>
      <c r="AF284" s="560">
        <f>MAX(12000,F284/(0.5*AE284/1000000*Isw_min*Nps))/1000</f>
        <v>2790.005948839977</v>
      </c>
      <c r="AG284" s="543">
        <f t="shared" si="446"/>
        <v>6.723999999999998E-2</v>
      </c>
      <c r="AI284" s="178">
        <f t="shared" si="447"/>
        <v>2.3151673805580453</v>
      </c>
      <c r="AJ284" s="178">
        <f t="shared" si="448"/>
        <v>2.3151673805580453</v>
      </c>
      <c r="AK284" s="178">
        <f t="shared" si="449"/>
        <v>2.3075313930059593</v>
      </c>
      <c r="AM284" s="560">
        <f t="shared" si="450"/>
        <v>536</v>
      </c>
      <c r="AN284" s="470">
        <f t="shared" si="451"/>
        <v>350</v>
      </c>
      <c r="AP284">
        <f t="shared" si="452"/>
        <v>536</v>
      </c>
      <c r="AQ284">
        <f t="shared" si="453"/>
        <v>350</v>
      </c>
      <c r="AS284" s="6">
        <f t="shared" si="426"/>
        <v>2.8571428571428572</v>
      </c>
      <c r="AT284" s="6">
        <f t="shared" si="454"/>
        <v>0.38586123009300749</v>
      </c>
      <c r="AU284" s="6">
        <f t="shared" si="393"/>
        <v>2.4712816270498497</v>
      </c>
      <c r="AV284" s="6"/>
      <c r="AW284" s="178">
        <f t="shared" si="394"/>
        <v>0.13505143053255261</v>
      </c>
      <c r="AX284" s="178"/>
      <c r="BA284" s="470">
        <f>L*Isw_max^2/(2*Vout_ripple*Vout)*1000000000*((1+M284)/2)^2</f>
        <v>15.348186929124752</v>
      </c>
      <c r="BB284" s="470">
        <f>L*F284^2/(2*Cout*Vout*Nps^2)*1000000000*((1+M284)/(1-M284))^2+F284*RCoutEsr</f>
        <v>6.0775441292356209</v>
      </c>
      <c r="BC284" s="6">
        <f t="shared" si="392"/>
        <v>0.59018967512056564</v>
      </c>
      <c r="BD284" s="470">
        <f>((BY284/I284/Efficiency)*AU284/Cin+(BY284/I284/Efficiency)*RCinEsr)*1000</f>
        <v>0</v>
      </c>
      <c r="CD284" s="577">
        <f t="shared" si="455"/>
        <v>-50</v>
      </c>
      <c r="CE284">
        <f t="shared" si="456"/>
        <v>-50</v>
      </c>
    </row>
    <row r="285" spans="5:83" x14ac:dyDescent="0.2">
      <c r="E285" s="175">
        <v>68</v>
      </c>
      <c r="F285" s="222">
        <f t="shared" si="457"/>
        <v>0.54400000000000004</v>
      </c>
      <c r="G285" s="222"/>
      <c r="H285" s="222">
        <f t="shared" si="428"/>
        <v>6.5280000000000005</v>
      </c>
      <c r="I285" s="556">
        <f t="shared" si="429"/>
        <v>42</v>
      </c>
      <c r="J285" s="452">
        <f t="shared" si="430"/>
        <v>12.25</v>
      </c>
      <c r="K285" s="452">
        <f t="shared" si="431"/>
        <v>54.25</v>
      </c>
      <c r="L285" s="452"/>
      <c r="M285" s="222">
        <f t="shared" si="432"/>
        <v>0.22580645161290322</v>
      </c>
      <c r="N285" s="177">
        <f t="shared" si="433"/>
        <v>18.469838709677418</v>
      </c>
      <c r="O285" s="177">
        <f t="shared" si="425"/>
        <v>6.5280000000000005</v>
      </c>
      <c r="P285" s="222">
        <f t="shared" si="434"/>
        <v>1.5391532258064515</v>
      </c>
      <c r="Q285" s="222">
        <f t="shared" si="435"/>
        <v>12</v>
      </c>
      <c r="R285" s="222"/>
      <c r="S285" s="177">
        <f t="shared" si="436"/>
        <v>108.45504753323085</v>
      </c>
      <c r="T285" s="177">
        <f t="shared" si="437"/>
        <v>12</v>
      </c>
      <c r="U285" s="222">
        <f t="shared" si="438"/>
        <v>1.4491084854994631</v>
      </c>
      <c r="V285" s="222">
        <f t="shared" si="439"/>
        <v>0.2415180809165772</v>
      </c>
      <c r="W285" s="222">
        <f t="shared" si="440"/>
        <v>0.82806199171397898</v>
      </c>
      <c r="X285" s="202">
        <f t="shared" si="441"/>
        <v>350</v>
      </c>
      <c r="Y285" s="452">
        <f t="shared" si="427"/>
        <v>350</v>
      </c>
      <c r="AA285" s="222">
        <f t="shared" si="442"/>
        <v>3.8709677419354835</v>
      </c>
      <c r="AB285" s="178">
        <f t="shared" si="443"/>
        <v>2.2119815668202762</v>
      </c>
      <c r="AC285" s="178">
        <f t="shared" si="444"/>
        <v>1.4984391259105099</v>
      </c>
      <c r="AD285" s="178"/>
      <c r="AE285" s="178">
        <f t="shared" si="445"/>
        <v>0.46857142857142853</v>
      </c>
      <c r="AF285" s="560">
        <f>MAX(12000,F285/(0.5*AE285/1000000*Isw_min*Nps))/1000</f>
        <v>2831.6478286734091</v>
      </c>
      <c r="AG285" s="543">
        <f t="shared" si="446"/>
        <v>6.723999999999998E-2</v>
      </c>
      <c r="AI285" s="178">
        <f t="shared" si="447"/>
        <v>2.3323807579381204</v>
      </c>
      <c r="AJ285" s="178">
        <f t="shared" si="448"/>
        <v>2.3323807579381204</v>
      </c>
      <c r="AK285" s="178">
        <f t="shared" si="449"/>
        <v>2.3202820429171265</v>
      </c>
      <c r="AM285" s="560">
        <f t="shared" si="450"/>
        <v>544</v>
      </c>
      <c r="AN285" s="470">
        <f t="shared" si="451"/>
        <v>350</v>
      </c>
      <c r="AP285">
        <f t="shared" si="452"/>
        <v>544</v>
      </c>
      <c r="AQ285">
        <f t="shared" si="453"/>
        <v>350</v>
      </c>
      <c r="AS285" s="6">
        <f t="shared" si="426"/>
        <v>2.8571428571428572</v>
      </c>
      <c r="AT285" s="6">
        <f t="shared" si="454"/>
        <v>0.38873012632302006</v>
      </c>
      <c r="AU285" s="6">
        <f t="shared" si="393"/>
        <v>2.4684127308198374</v>
      </c>
      <c r="AV285" s="6"/>
      <c r="AW285" s="178">
        <f t="shared" si="394"/>
        <v>0.13605554421305702</v>
      </c>
      <c r="AX285" s="178"/>
      <c r="BA285" s="470">
        <f>L*Isw_max^2/(2*Vout_ripple*Vout)*1000000000*((1+M285)/2)^2</f>
        <v>15.348186929124752</v>
      </c>
      <c r="BB285" s="470">
        <f>L*F285^2/(2*Cout*Vout*Nps^2)*1000000000*((1+M285)/(1-M285))^2+F285*RCoutEsr</f>
        <v>6.2359590228526418</v>
      </c>
      <c r="BC285" s="6">
        <f t="shared" si="392"/>
        <v>0.59830310245212648</v>
      </c>
      <c r="BD285" s="470">
        <f>((BY285/I285/Efficiency)*AU285/Cin+(BY285/I285/Efficiency)*RCinEsr)*1000</f>
        <v>0</v>
      </c>
      <c r="CD285" s="577">
        <f t="shared" si="455"/>
        <v>-50</v>
      </c>
      <c r="CE285">
        <f t="shared" si="456"/>
        <v>-50</v>
      </c>
    </row>
    <row r="286" spans="5:83" x14ac:dyDescent="0.2">
      <c r="E286" s="175">
        <v>69</v>
      </c>
      <c r="F286" s="222">
        <f t="shared" si="457"/>
        <v>0.55199999999999994</v>
      </c>
      <c r="G286" s="222"/>
      <c r="H286" s="222">
        <f t="shared" si="428"/>
        <v>6.6239999999999988</v>
      </c>
      <c r="I286" s="556">
        <f t="shared" si="429"/>
        <v>42</v>
      </c>
      <c r="J286" s="452">
        <f t="shared" si="430"/>
        <v>12.25</v>
      </c>
      <c r="K286" s="452">
        <f t="shared" si="431"/>
        <v>54.25</v>
      </c>
      <c r="L286" s="452"/>
      <c r="M286" s="222">
        <f t="shared" si="432"/>
        <v>0.22580645161290322</v>
      </c>
      <c r="N286" s="177">
        <f t="shared" si="433"/>
        <v>18.469838709677418</v>
      </c>
      <c r="O286" s="177">
        <f t="shared" si="425"/>
        <v>6.6239999999999988</v>
      </c>
      <c r="P286" s="222">
        <f t="shared" si="434"/>
        <v>1.5391532258064515</v>
      </c>
      <c r="Q286" s="222">
        <f t="shared" si="435"/>
        <v>12</v>
      </c>
      <c r="R286" s="222"/>
      <c r="S286" s="177">
        <f t="shared" si="436"/>
        <v>106.27791354140923</v>
      </c>
      <c r="T286" s="177">
        <f t="shared" si="437"/>
        <v>12</v>
      </c>
      <c r="U286" s="222">
        <f t="shared" si="438"/>
        <v>1.4704189044038665</v>
      </c>
      <c r="V286" s="222">
        <f t="shared" si="439"/>
        <v>0.2450698174006444</v>
      </c>
      <c r="W286" s="222">
        <f t="shared" si="440"/>
        <v>0.84023937394506643</v>
      </c>
      <c r="X286" s="202">
        <f t="shared" si="441"/>
        <v>350</v>
      </c>
      <c r="Y286" s="452">
        <f t="shared" si="427"/>
        <v>350</v>
      </c>
      <c r="AA286" s="222">
        <f t="shared" si="442"/>
        <v>3.8709677419354835</v>
      </c>
      <c r="AB286" s="178">
        <f t="shared" si="443"/>
        <v>2.2119815668202762</v>
      </c>
      <c r="AC286" s="178">
        <f t="shared" si="444"/>
        <v>1.4984391259105099</v>
      </c>
      <c r="AD286" s="178"/>
      <c r="AE286" s="178">
        <f t="shared" si="445"/>
        <v>0.46857142857142853</v>
      </c>
      <c r="AF286" s="560">
        <f>MAX(12000,F286/(0.5*AE286/1000000*Isw_min*Nps))/1000</f>
        <v>2873.2897085068412</v>
      </c>
      <c r="AG286" s="543">
        <f t="shared" si="446"/>
        <v>6.723999999999998E-2</v>
      </c>
      <c r="AI286" s="178">
        <f t="shared" si="447"/>
        <v>2.3494680248941462</v>
      </c>
      <c r="AJ286" s="178">
        <f t="shared" si="448"/>
        <v>2.3494680248941462</v>
      </c>
      <c r="AK286" s="178">
        <f t="shared" si="449"/>
        <v>2.3329392776993676</v>
      </c>
      <c r="AM286" s="560">
        <f t="shared" si="450"/>
        <v>551.99999999999989</v>
      </c>
      <c r="AN286" s="470">
        <f t="shared" si="451"/>
        <v>350</v>
      </c>
      <c r="AP286">
        <f t="shared" si="452"/>
        <v>551.99999999999989</v>
      </c>
      <c r="AQ286">
        <f t="shared" si="453"/>
        <v>350</v>
      </c>
      <c r="AS286" s="6">
        <f t="shared" si="426"/>
        <v>2.8571428571428572</v>
      </c>
      <c r="AT286" s="6">
        <f t="shared" si="454"/>
        <v>0.39157800414902438</v>
      </c>
      <c r="AU286" s="6">
        <f t="shared" si="393"/>
        <v>2.465564852993833</v>
      </c>
      <c r="AV286" s="6"/>
      <c r="AW286" s="178">
        <f t="shared" si="394"/>
        <v>0.13705230145215852</v>
      </c>
      <c r="AX286" s="178"/>
      <c r="BA286" s="470">
        <f>L*Isw_max^2/(2*Vout_ripple*Vout)*1000000000*((1+M286)/2)^2</f>
        <v>15.348186929124752</v>
      </c>
      <c r="BB286" s="470">
        <f>L*F286^2/(2*Cout*Vout*Nps^2)*1000000000*((1+M286)/(1-M286))^2+F286*RCoutEsr</f>
        <v>6.3963652482269504</v>
      </c>
      <c r="BC286" s="6">
        <f t="shared" si="392"/>
        <v>0.60640124705211707</v>
      </c>
      <c r="BD286" s="470">
        <f>((BY286/I286/Efficiency)*AU286/Cin+(BY286/I286/Efficiency)*RCinEsr)*1000</f>
        <v>0</v>
      </c>
      <c r="CD286" s="577">
        <f t="shared" si="455"/>
        <v>-50</v>
      </c>
      <c r="CE286">
        <f t="shared" si="456"/>
        <v>-50</v>
      </c>
    </row>
    <row r="287" spans="5:83" x14ac:dyDescent="0.2">
      <c r="E287" s="175">
        <v>70</v>
      </c>
      <c r="F287" s="222">
        <f t="shared" si="457"/>
        <v>0.55999999999999994</v>
      </c>
      <c r="G287" s="222"/>
      <c r="H287" s="222">
        <f t="shared" si="428"/>
        <v>6.7199999999999989</v>
      </c>
      <c r="I287" s="556">
        <f t="shared" si="429"/>
        <v>42</v>
      </c>
      <c r="J287" s="452">
        <f t="shared" si="430"/>
        <v>12.25</v>
      </c>
      <c r="K287" s="452">
        <f t="shared" si="431"/>
        <v>54.25</v>
      </c>
      <c r="L287" s="452"/>
      <c r="M287" s="222">
        <f t="shared" si="432"/>
        <v>0.22580645161290322</v>
      </c>
      <c r="N287" s="177">
        <f t="shared" si="433"/>
        <v>18.469838709677418</v>
      </c>
      <c r="O287" s="177">
        <f t="shared" si="425"/>
        <v>6.7199999999999989</v>
      </c>
      <c r="P287" s="222">
        <f t="shared" si="434"/>
        <v>1.5391532258064515</v>
      </c>
      <c r="Q287" s="222">
        <f t="shared" si="435"/>
        <v>12</v>
      </c>
      <c r="R287" s="222"/>
      <c r="S287" s="177">
        <f t="shared" si="436"/>
        <v>104.16306213069259</v>
      </c>
      <c r="T287" s="177">
        <f t="shared" si="437"/>
        <v>12</v>
      </c>
      <c r="U287" s="222">
        <f t="shared" si="438"/>
        <v>1.4917293233082705</v>
      </c>
      <c r="V287" s="222">
        <f t="shared" si="439"/>
        <v>0.24862155388471177</v>
      </c>
      <c r="W287" s="222">
        <f t="shared" si="440"/>
        <v>0.85241675617615453</v>
      </c>
      <c r="X287" s="202">
        <f t="shared" si="441"/>
        <v>350</v>
      </c>
      <c r="Y287" s="452">
        <f t="shared" si="427"/>
        <v>350</v>
      </c>
      <c r="AA287" s="222">
        <f t="shared" si="442"/>
        <v>3.8709677419354835</v>
      </c>
      <c r="AB287" s="178">
        <f t="shared" si="443"/>
        <v>2.2119815668202762</v>
      </c>
      <c r="AC287" s="178">
        <f t="shared" si="444"/>
        <v>1.4984391259105099</v>
      </c>
      <c r="AD287" s="178"/>
      <c r="AE287" s="178">
        <f t="shared" si="445"/>
        <v>0.46857142857142853</v>
      </c>
      <c r="AF287" s="560">
        <f>MAX(12000,F287/(0.5*AE287/1000000*Isw_min*Nps))/1000</f>
        <v>2914.9315883402742</v>
      </c>
      <c r="AG287" s="543">
        <f t="shared" si="446"/>
        <v>6.723999999999998E-2</v>
      </c>
      <c r="AI287" s="178">
        <f t="shared" si="447"/>
        <v>2.3664319132398464</v>
      </c>
      <c r="AJ287" s="178">
        <f t="shared" si="448"/>
        <v>2.3664319132398464</v>
      </c>
      <c r="AK287" s="178">
        <f t="shared" si="449"/>
        <v>2.3455051209184048</v>
      </c>
      <c r="AM287" s="560">
        <f t="shared" si="450"/>
        <v>559.99999999999989</v>
      </c>
      <c r="AN287" s="470">
        <f t="shared" si="451"/>
        <v>350</v>
      </c>
      <c r="AP287">
        <f t="shared" si="452"/>
        <v>559.99999999999989</v>
      </c>
      <c r="AQ287">
        <f t="shared" si="453"/>
        <v>350</v>
      </c>
      <c r="AS287" s="6">
        <f t="shared" si="426"/>
        <v>2.8571428571428572</v>
      </c>
      <c r="AT287" s="6">
        <f t="shared" si="454"/>
        <v>0.39440531887330776</v>
      </c>
      <c r="AU287" s="6">
        <f t="shared" si="393"/>
        <v>2.4627375382695496</v>
      </c>
      <c r="AV287" s="6"/>
      <c r="AW287" s="178">
        <f t="shared" si="394"/>
        <v>0.13804186160565771</v>
      </c>
      <c r="AX287" s="178"/>
      <c r="BA287" s="470">
        <f>L*Isw_max^2/(2*Vout_ripple*Vout)*1000000000*((1+M287)/2)^2</f>
        <v>15.348186929124752</v>
      </c>
      <c r="BB287" s="470">
        <f>L*F287^2/(2*Cout*Vout*Nps^2)*1000000000*((1+M287)/(1-M287))^2+F287*RCoutEsr</f>
        <v>6.5587628053585494</v>
      </c>
      <c r="BC287" s="6">
        <f t="shared" si="392"/>
        <v>0.6144842200750531</v>
      </c>
      <c r="BD287" s="470">
        <f>((BY287/I287/Efficiency)*AU287/Cin+(BY287/I287/Efficiency)*RCinEsr)*1000</f>
        <v>0</v>
      </c>
      <c r="CD287" s="577">
        <f t="shared" si="455"/>
        <v>-50</v>
      </c>
      <c r="CE287">
        <f t="shared" si="456"/>
        <v>-50</v>
      </c>
    </row>
    <row r="288" spans="5:83" x14ac:dyDescent="0.2">
      <c r="E288" s="175">
        <v>71</v>
      </c>
      <c r="F288" s="222">
        <f t="shared" si="457"/>
        <v>0.56799999999999995</v>
      </c>
      <c r="G288" s="222"/>
      <c r="H288" s="222">
        <f t="shared" si="428"/>
        <v>6.8159999999999989</v>
      </c>
      <c r="I288" s="556">
        <f t="shared" si="429"/>
        <v>42</v>
      </c>
      <c r="J288" s="452">
        <f t="shared" si="430"/>
        <v>12.25</v>
      </c>
      <c r="K288" s="452">
        <f t="shared" si="431"/>
        <v>54.25</v>
      </c>
      <c r="L288" s="452"/>
      <c r="M288" s="222">
        <f t="shared" si="432"/>
        <v>0.22580645161290322</v>
      </c>
      <c r="N288" s="177">
        <f t="shared" si="433"/>
        <v>18.469838709677418</v>
      </c>
      <c r="O288" s="177">
        <f t="shared" si="425"/>
        <v>6.8159999999999989</v>
      </c>
      <c r="P288" s="222">
        <f t="shared" si="434"/>
        <v>1.5391532258064515</v>
      </c>
      <c r="Q288" s="222">
        <f t="shared" si="435"/>
        <v>12</v>
      </c>
      <c r="R288" s="222"/>
      <c r="S288" s="177">
        <f t="shared" si="436"/>
        <v>102.10786296426987</v>
      </c>
      <c r="T288" s="177">
        <f t="shared" si="437"/>
        <v>12</v>
      </c>
      <c r="U288" s="222">
        <f t="shared" si="438"/>
        <v>1.5130397422126742</v>
      </c>
      <c r="V288" s="222">
        <f t="shared" si="439"/>
        <v>0.252173290368779</v>
      </c>
      <c r="W288" s="222">
        <f t="shared" si="440"/>
        <v>0.86459413840724242</v>
      </c>
      <c r="X288" s="202">
        <f t="shared" si="441"/>
        <v>350</v>
      </c>
      <c r="Y288" s="452">
        <f t="shared" si="427"/>
        <v>350</v>
      </c>
      <c r="AA288" s="222">
        <f t="shared" si="442"/>
        <v>3.8709677419354835</v>
      </c>
      <c r="AB288" s="178">
        <f t="shared" si="443"/>
        <v>2.2119815668202762</v>
      </c>
      <c r="AC288" s="178">
        <f t="shared" si="444"/>
        <v>1.4984391259105099</v>
      </c>
      <c r="AD288" s="178"/>
      <c r="AE288" s="178">
        <f t="shared" si="445"/>
        <v>0.46857142857142853</v>
      </c>
      <c r="AF288" s="560">
        <f>MAX(12000,F288/(0.5*AE288/1000000*Isw_min*Nps))/1000</f>
        <v>2956.5734681737063</v>
      </c>
      <c r="AG288" s="543">
        <f t="shared" si="446"/>
        <v>6.723999999999998E-2</v>
      </c>
      <c r="AI288" s="178">
        <f t="shared" si="447"/>
        <v>2.3832750575625967</v>
      </c>
      <c r="AJ288" s="178">
        <f t="shared" si="448"/>
        <v>2.3832750575625967</v>
      </c>
      <c r="AK288" s="178">
        <f t="shared" si="449"/>
        <v>2.3579815241204418</v>
      </c>
      <c r="AM288" s="560">
        <f t="shared" si="450"/>
        <v>568</v>
      </c>
      <c r="AN288" s="470">
        <f t="shared" si="451"/>
        <v>350</v>
      </c>
      <c r="AP288">
        <f t="shared" si="452"/>
        <v>568</v>
      </c>
      <c r="AQ288">
        <f t="shared" si="453"/>
        <v>350</v>
      </c>
      <c r="AS288" s="6">
        <f t="shared" si="426"/>
        <v>2.8571428571428572</v>
      </c>
      <c r="AT288" s="6">
        <f t="shared" si="454"/>
        <v>0.39721250959376619</v>
      </c>
      <c r="AU288" s="6">
        <f t="shared" si="393"/>
        <v>2.4599303475490908</v>
      </c>
      <c r="AV288" s="6"/>
      <c r="AW288" s="178">
        <f t="shared" si="394"/>
        <v>0.13902437835781817</v>
      </c>
      <c r="AX288" s="178"/>
      <c r="BA288" s="470">
        <f>L*Isw_max^2/(2*Vout_ripple*Vout)*1000000000*((1+M288)/2)^2</f>
        <v>15.348186929124752</v>
      </c>
      <c r="BB288" s="470">
        <f>L*F288^2/(2*Cout*Vout*Nps^2)*1000000000*((1+M288)/(1-M288))^2+F288*RCoutEsr</f>
        <v>6.7231516942474396</v>
      </c>
      <c r="BC288" s="6">
        <f t="shared" si="392"/>
        <v>0.62255213028477119</v>
      </c>
      <c r="BD288" s="470">
        <f>((BY288/I288/Efficiency)*AU288/Cin+(BY288/I288/Efficiency)*RCinEsr)*1000</f>
        <v>0</v>
      </c>
      <c r="CD288" s="577">
        <f t="shared" si="455"/>
        <v>-50</v>
      </c>
      <c r="CE288">
        <f t="shared" si="456"/>
        <v>-50</v>
      </c>
    </row>
    <row r="289" spans="5:83" x14ac:dyDescent="0.2">
      <c r="E289" s="175">
        <v>72</v>
      </c>
      <c r="F289" s="222">
        <f t="shared" si="457"/>
        <v>0.57599999999999996</v>
      </c>
      <c r="G289" s="222"/>
      <c r="H289" s="222">
        <f t="shared" si="428"/>
        <v>6.911999999999999</v>
      </c>
      <c r="I289" s="556">
        <f t="shared" si="429"/>
        <v>42</v>
      </c>
      <c r="J289" s="452">
        <f t="shared" si="430"/>
        <v>12.25</v>
      </c>
      <c r="K289" s="452">
        <f t="shared" si="431"/>
        <v>54.25</v>
      </c>
      <c r="L289" s="452"/>
      <c r="M289" s="222">
        <f t="shared" si="432"/>
        <v>0.22580645161290322</v>
      </c>
      <c r="N289" s="177">
        <f t="shared" si="433"/>
        <v>18.469838709677418</v>
      </c>
      <c r="O289" s="177">
        <f t="shared" si="425"/>
        <v>6.911999999999999</v>
      </c>
      <c r="P289" s="222">
        <f t="shared" si="434"/>
        <v>1.5391532258064515</v>
      </c>
      <c r="Q289" s="222">
        <f t="shared" si="435"/>
        <v>12</v>
      </c>
      <c r="R289" s="222"/>
      <c r="S289" s="177">
        <f t="shared" si="436"/>
        <v>100.10983186453028</v>
      </c>
      <c r="T289" s="177">
        <f t="shared" si="437"/>
        <v>12</v>
      </c>
      <c r="U289" s="222">
        <f t="shared" si="438"/>
        <v>1.5343501611170782</v>
      </c>
      <c r="V289" s="222">
        <f t="shared" si="439"/>
        <v>0.25572502685284637</v>
      </c>
      <c r="W289" s="222">
        <f t="shared" si="440"/>
        <v>0.87677152063833041</v>
      </c>
      <c r="X289" s="202">
        <f t="shared" si="441"/>
        <v>350</v>
      </c>
      <c r="Y289" s="452">
        <f t="shared" si="427"/>
        <v>350</v>
      </c>
      <c r="AA289" s="222">
        <f t="shared" si="442"/>
        <v>3.8709677419354835</v>
      </c>
      <c r="AB289" s="178">
        <f t="shared" si="443"/>
        <v>2.2119815668202762</v>
      </c>
      <c r="AC289" s="178">
        <f t="shared" si="444"/>
        <v>1.4984391259105099</v>
      </c>
      <c r="AD289" s="178"/>
      <c r="AE289" s="178">
        <f t="shared" si="445"/>
        <v>0.46857142857142853</v>
      </c>
      <c r="AF289" s="560">
        <f>MAX(12000,F289/(0.5*AE289/1000000*Isw_min*Nps))/1000</f>
        <v>2998.2153480071388</v>
      </c>
      <c r="AG289" s="543">
        <f t="shared" si="446"/>
        <v>6.723999999999998E-2</v>
      </c>
      <c r="AI289" s="178">
        <f t="shared" si="447"/>
        <v>2.4</v>
      </c>
      <c r="AJ289" s="178">
        <f t="shared" si="448"/>
        <v>2.4</v>
      </c>
      <c r="AK289" s="178">
        <f t="shared" si="449"/>
        <v>2.3703703703703702</v>
      </c>
      <c r="AM289" s="560">
        <f t="shared" si="450"/>
        <v>576</v>
      </c>
      <c r="AN289" s="470">
        <f t="shared" si="451"/>
        <v>350</v>
      </c>
      <c r="AP289">
        <f t="shared" si="452"/>
        <v>576</v>
      </c>
      <c r="AQ289">
        <f t="shared" si="453"/>
        <v>350</v>
      </c>
      <c r="AS289" s="6">
        <f t="shared" si="426"/>
        <v>2.8571428571428572</v>
      </c>
      <c r="AT289" s="6">
        <f t="shared" si="454"/>
        <v>0.39999999999999997</v>
      </c>
      <c r="AU289" s="6">
        <f t="shared" si="393"/>
        <v>2.4571428571428573</v>
      </c>
      <c r="AV289" s="6"/>
      <c r="AW289" s="178">
        <f t="shared" si="394"/>
        <v>0.13999999999999999</v>
      </c>
      <c r="AX289" s="178"/>
      <c r="BA289" s="470">
        <f>L*Isw_max^2/(2*Vout_ripple*Vout)*1000000000*((1+M289)/2)^2</f>
        <v>15.348186929124752</v>
      </c>
      <c r="BB289" s="470">
        <f>L*F289^2/(2*Cout*Vout*Nps^2)*1000000000*((1+M289)/(1-M289))^2+F289*RCoutEsr</f>
        <v>6.8895319148936185</v>
      </c>
      <c r="BC289" s="6">
        <f t="shared" si="392"/>
        <v>0.63060508413891869</v>
      </c>
      <c r="BD289" s="470">
        <f>((BY289/I289/Efficiency)*AU289/Cin+(BY289/I289/Efficiency)*RCinEsr)*1000</f>
        <v>0</v>
      </c>
      <c r="CD289" s="577">
        <f t="shared" si="455"/>
        <v>-50</v>
      </c>
      <c r="CE289">
        <f t="shared" si="456"/>
        <v>-50</v>
      </c>
    </row>
    <row r="290" spans="5:83" x14ac:dyDescent="0.2">
      <c r="E290" s="175">
        <v>73</v>
      </c>
      <c r="F290" s="222">
        <f t="shared" si="457"/>
        <v>0.58399999999999996</v>
      </c>
      <c r="G290" s="222"/>
      <c r="H290" s="222">
        <f t="shared" si="428"/>
        <v>7.0079999999999991</v>
      </c>
      <c r="I290" s="556">
        <f t="shared" si="429"/>
        <v>42</v>
      </c>
      <c r="J290" s="452">
        <f t="shared" si="430"/>
        <v>12.25</v>
      </c>
      <c r="K290" s="452">
        <f t="shared" si="431"/>
        <v>54.25</v>
      </c>
      <c r="L290" s="452"/>
      <c r="M290" s="222">
        <f t="shared" si="432"/>
        <v>0.22580645161290322</v>
      </c>
      <c r="N290" s="177">
        <f t="shared" si="433"/>
        <v>18.469838709677418</v>
      </c>
      <c r="O290" s="177">
        <f t="shared" si="425"/>
        <v>7.0079999999999991</v>
      </c>
      <c r="P290" s="222">
        <f t="shared" si="434"/>
        <v>1.5391532258064515</v>
      </c>
      <c r="Q290" s="222">
        <f t="shared" si="435"/>
        <v>12</v>
      </c>
      <c r="R290" s="222"/>
      <c r="S290" s="177">
        <f t="shared" si="436"/>
        <v>98.166620802969533</v>
      </c>
      <c r="T290" s="177">
        <f t="shared" si="437"/>
        <v>12</v>
      </c>
      <c r="U290" s="222">
        <f t="shared" si="438"/>
        <v>1.555660580021482</v>
      </c>
      <c r="V290" s="222">
        <f t="shared" si="439"/>
        <v>0.25927676333691363</v>
      </c>
      <c r="W290" s="222">
        <f t="shared" si="440"/>
        <v>0.88894890286941819</v>
      </c>
      <c r="X290" s="202">
        <f t="shared" si="441"/>
        <v>350</v>
      </c>
      <c r="Y290" s="452">
        <f t="shared" si="427"/>
        <v>350</v>
      </c>
      <c r="AA290" s="222">
        <f t="shared" si="442"/>
        <v>3.8709677419354835</v>
      </c>
      <c r="AB290" s="178">
        <f t="shared" si="443"/>
        <v>2.2119815668202762</v>
      </c>
      <c r="AC290" s="178">
        <f t="shared" si="444"/>
        <v>1.4984391259105099</v>
      </c>
      <c r="AD290" s="178"/>
      <c r="AE290" s="178">
        <f t="shared" si="445"/>
        <v>0.46857142857142853</v>
      </c>
      <c r="AF290" s="560">
        <f>MAX(12000,F290/(0.5*AE290/1000000*Isw_min*Nps))/1000</f>
        <v>3039.8572278405718</v>
      </c>
      <c r="AG290" s="543">
        <f t="shared" si="446"/>
        <v>6.723999999999998E-2</v>
      </c>
      <c r="AI290" s="178">
        <f t="shared" si="447"/>
        <v>2.4166091947189146</v>
      </c>
      <c r="AJ290" s="178">
        <f t="shared" si="448"/>
        <v>2.4166091947189146</v>
      </c>
      <c r="AK290" s="178">
        <f t="shared" si="449"/>
        <v>2.3826734775695666</v>
      </c>
      <c r="AM290" s="560">
        <f t="shared" si="450"/>
        <v>584</v>
      </c>
      <c r="AN290" s="470">
        <f t="shared" si="451"/>
        <v>350</v>
      </c>
      <c r="AP290">
        <f t="shared" si="452"/>
        <v>584</v>
      </c>
      <c r="AQ290">
        <f t="shared" si="453"/>
        <v>350</v>
      </c>
      <c r="AS290" s="6">
        <f t="shared" si="426"/>
        <v>2.8571428571428572</v>
      </c>
      <c r="AT290" s="6">
        <f t="shared" si="454"/>
        <v>0.40276819911981915</v>
      </c>
      <c r="AU290" s="6">
        <f t="shared" si="393"/>
        <v>2.4543746580230379</v>
      </c>
      <c r="AV290" s="6"/>
      <c r="AW290" s="178">
        <f t="shared" si="394"/>
        <v>0.1409688696919367</v>
      </c>
      <c r="AX290" s="178"/>
      <c r="BA290" s="470">
        <f>L*Isw_max^2/(2*Vout_ripple*Vout)*1000000000*((1+M290)/2)^2</f>
        <v>15.348186929124752</v>
      </c>
      <c r="BB290" s="470">
        <f>L*F290^2/(2*Cout*Vout*Nps^2)*1000000000*((1+M290)/(1-M290))^2+F290*RCoutEsr</f>
        <v>7.0579034672970842</v>
      </c>
      <c r="BC290" s="6">
        <f t="shared" si="392"/>
        <v>0.63864318586931945</v>
      </c>
      <c r="BD290" s="470">
        <f>((BY290/I290/Efficiency)*AU290/Cin+(BY290/I290/Efficiency)*RCinEsr)*1000</f>
        <v>0</v>
      </c>
      <c r="CD290" s="577">
        <f t="shared" si="455"/>
        <v>-50</v>
      </c>
      <c r="CE290">
        <f t="shared" si="456"/>
        <v>-50</v>
      </c>
    </row>
    <row r="291" spans="5:83" x14ac:dyDescent="0.2">
      <c r="E291" s="175">
        <v>74</v>
      </c>
      <c r="F291" s="222">
        <f t="shared" si="457"/>
        <v>0.59199999999999997</v>
      </c>
      <c r="G291" s="222"/>
      <c r="H291" s="222">
        <f t="shared" si="428"/>
        <v>7.1039999999999992</v>
      </c>
      <c r="I291" s="556">
        <f t="shared" si="429"/>
        <v>42</v>
      </c>
      <c r="J291" s="452">
        <f t="shared" si="430"/>
        <v>12.25</v>
      </c>
      <c r="K291" s="452">
        <f t="shared" si="431"/>
        <v>54.25</v>
      </c>
      <c r="L291" s="452"/>
      <c r="M291" s="222">
        <f t="shared" si="432"/>
        <v>0.22580645161290322</v>
      </c>
      <c r="N291" s="177">
        <f t="shared" si="433"/>
        <v>18.469838709677418</v>
      </c>
      <c r="O291" s="177">
        <f t="shared" si="425"/>
        <v>7.1039999999999992</v>
      </c>
      <c r="P291" s="222">
        <f t="shared" si="434"/>
        <v>1.5391532258064515</v>
      </c>
      <c r="Q291" s="222">
        <f t="shared" si="435"/>
        <v>12</v>
      </c>
      <c r="R291" s="222"/>
      <c r="S291" s="177">
        <f t="shared" si="436"/>
        <v>96.27600870175209</v>
      </c>
      <c r="T291" s="177">
        <f t="shared" si="437"/>
        <v>12</v>
      </c>
      <c r="U291" s="222">
        <f t="shared" si="438"/>
        <v>1.576970998925886</v>
      </c>
      <c r="V291" s="222">
        <f t="shared" si="439"/>
        <v>0.262828499820981</v>
      </c>
      <c r="W291" s="222">
        <f t="shared" si="440"/>
        <v>0.9011262851005063</v>
      </c>
      <c r="X291" s="202">
        <f t="shared" si="441"/>
        <v>350</v>
      </c>
      <c r="Y291" s="452">
        <f t="shared" si="427"/>
        <v>350</v>
      </c>
      <c r="AA291" s="222">
        <f t="shared" si="442"/>
        <v>3.8709677419354835</v>
      </c>
      <c r="AB291" s="178">
        <f t="shared" si="443"/>
        <v>2.2119815668202762</v>
      </c>
      <c r="AC291" s="178">
        <f t="shared" si="444"/>
        <v>1.4984391259105099</v>
      </c>
      <c r="AD291" s="178"/>
      <c r="AE291" s="178">
        <f t="shared" si="445"/>
        <v>0.46857142857142853</v>
      </c>
      <c r="AF291" s="560">
        <f>MAX(12000,F291/(0.5*AE291/1000000*Isw_min*Nps))/1000</f>
        <v>3081.4991076740039</v>
      </c>
      <c r="AG291" s="543">
        <f t="shared" si="446"/>
        <v>6.723999999999998E-2</v>
      </c>
      <c r="AI291" s="178">
        <f t="shared" si="447"/>
        <v>2.4331050121192876</v>
      </c>
      <c r="AJ291" s="178">
        <f t="shared" si="448"/>
        <v>2.4331050121192876</v>
      </c>
      <c r="AK291" s="178">
        <f t="shared" si="449"/>
        <v>2.3948926015698428</v>
      </c>
      <c r="AM291" s="560">
        <f t="shared" si="450"/>
        <v>592</v>
      </c>
      <c r="AN291" s="470">
        <f t="shared" si="451"/>
        <v>350</v>
      </c>
      <c r="AP291">
        <f t="shared" si="452"/>
        <v>592</v>
      </c>
      <c r="AQ291">
        <f t="shared" si="453"/>
        <v>350</v>
      </c>
      <c r="AS291" s="6">
        <f t="shared" si="426"/>
        <v>2.8571428571428572</v>
      </c>
      <c r="AT291" s="6">
        <f t="shared" si="454"/>
        <v>0.40551750201988124</v>
      </c>
      <c r="AU291" s="6">
        <f t="shared" si="393"/>
        <v>2.4516253551229759</v>
      </c>
      <c r="AV291" s="6"/>
      <c r="AW291" s="178">
        <f t="shared" si="394"/>
        <v>0.14193112570695843</v>
      </c>
      <c r="AX291" s="178"/>
      <c r="BA291" s="470">
        <f>L*Isw_max^2/(2*Vout_ripple*Vout)*1000000000*((1+M291)/2)^2</f>
        <v>15.348186929124752</v>
      </c>
      <c r="BB291" s="470">
        <f>L*F291^2/(2*Cout*Vout*Nps^2)*1000000000*((1+M291)/(1-M291))^2+F291*RCoutEsr</f>
        <v>7.2282663514578411</v>
      </c>
      <c r="BC291" s="6">
        <f t="shared" si="392"/>
        <v>0.64666653755847459</v>
      </c>
      <c r="BD291" s="470">
        <f>((BY291/I291/Efficiency)*AU291/Cin+(BY291/I291/Efficiency)*RCinEsr)*1000</f>
        <v>0</v>
      </c>
      <c r="CD291" s="577">
        <f t="shared" si="455"/>
        <v>-50</v>
      </c>
      <c r="CE291">
        <f t="shared" si="456"/>
        <v>-50</v>
      </c>
    </row>
    <row r="292" spans="5:83" x14ac:dyDescent="0.2">
      <c r="E292" s="175">
        <v>75</v>
      </c>
      <c r="F292" s="222">
        <f t="shared" si="457"/>
        <v>0.60000000000000009</v>
      </c>
      <c r="G292" s="222"/>
      <c r="H292" s="222">
        <f t="shared" si="428"/>
        <v>7.2000000000000011</v>
      </c>
      <c r="I292" s="556">
        <f t="shared" si="429"/>
        <v>42</v>
      </c>
      <c r="J292" s="452">
        <f t="shared" si="430"/>
        <v>12.25</v>
      </c>
      <c r="K292" s="452">
        <f t="shared" si="431"/>
        <v>54.25</v>
      </c>
      <c r="L292" s="452"/>
      <c r="M292" s="222">
        <f t="shared" si="432"/>
        <v>0.22580645161290322</v>
      </c>
      <c r="N292" s="177">
        <f t="shared" si="433"/>
        <v>18.469838709677418</v>
      </c>
      <c r="O292" s="177">
        <f t="shared" si="425"/>
        <v>7.2000000000000011</v>
      </c>
      <c r="P292" s="222">
        <f t="shared" si="434"/>
        <v>1.5391532258064515</v>
      </c>
      <c r="Q292" s="222">
        <f t="shared" si="435"/>
        <v>12</v>
      </c>
      <c r="R292" s="222"/>
      <c r="S292" s="177">
        <f t="shared" si="436"/>
        <v>94.435892971175704</v>
      </c>
      <c r="T292" s="177">
        <f t="shared" si="437"/>
        <v>12</v>
      </c>
      <c r="U292" s="222">
        <f t="shared" si="438"/>
        <v>1.5982814178302902</v>
      </c>
      <c r="V292" s="222">
        <f t="shared" si="439"/>
        <v>0.26638023630504837</v>
      </c>
      <c r="W292" s="222">
        <f t="shared" si="440"/>
        <v>0.9133036673315944</v>
      </c>
      <c r="X292" s="202">
        <f t="shared" si="441"/>
        <v>350</v>
      </c>
      <c r="Y292" s="452">
        <f t="shared" si="427"/>
        <v>350</v>
      </c>
      <c r="AA292" s="222">
        <f t="shared" si="442"/>
        <v>3.8709677419354835</v>
      </c>
      <c r="AB292" s="178">
        <f t="shared" si="443"/>
        <v>2.2119815668202762</v>
      </c>
      <c r="AC292" s="178">
        <f t="shared" si="444"/>
        <v>1.4984391259105099</v>
      </c>
      <c r="AD292" s="178"/>
      <c r="AE292" s="178">
        <f t="shared" si="445"/>
        <v>0.46857142857142853</v>
      </c>
      <c r="AF292" s="560">
        <f>MAX(12000,F292/(0.5*AE292/1000000*Isw_min*Nps))/1000</f>
        <v>3123.1409875074373</v>
      </c>
      <c r="AG292" s="543">
        <f t="shared" si="446"/>
        <v>6.723999999999998E-2</v>
      </c>
      <c r="AI292" s="178">
        <f t="shared" si="447"/>
        <v>2.4494897427831783</v>
      </c>
      <c r="AJ292" s="178">
        <f t="shared" si="448"/>
        <v>2.4494897427831783</v>
      </c>
      <c r="AK292" s="178">
        <f t="shared" si="449"/>
        <v>2.4070294390986504</v>
      </c>
      <c r="AM292" s="560">
        <f t="shared" si="450"/>
        <v>600.00000000000011</v>
      </c>
      <c r="AN292" s="470">
        <f t="shared" si="451"/>
        <v>350</v>
      </c>
      <c r="AP292">
        <f t="shared" si="452"/>
        <v>600.00000000000011</v>
      </c>
      <c r="AQ292">
        <f t="shared" si="453"/>
        <v>350</v>
      </c>
      <c r="AS292" s="6">
        <f t="shared" si="426"/>
        <v>2.8571428571428572</v>
      </c>
      <c r="AT292" s="6">
        <f t="shared" si="454"/>
        <v>0.40824829046386307</v>
      </c>
      <c r="AU292" s="6">
        <f t="shared" si="393"/>
        <v>2.4488945666789941</v>
      </c>
      <c r="AV292" s="6"/>
      <c r="AW292" s="178">
        <f t="shared" si="394"/>
        <v>0.14288690166235207</v>
      </c>
      <c r="AX292" s="178"/>
      <c r="BA292" s="470">
        <f>L*Isw_max^2/(2*Vout_ripple*Vout)*1000000000*((1+M292)/2)^2</f>
        <v>15.348186929124752</v>
      </c>
      <c r="BB292" s="470">
        <f>L*F292^2/(2*Cout*Vout*Nps^2)*1000000000*((1+M292)/(1-M292))^2+F292*RCoutEsr</f>
        <v>7.4006205673758885</v>
      </c>
      <c r="BC292" s="6">
        <f t="shared" si="392"/>
        <v>0.65467523921242965</v>
      </c>
      <c r="BD292" s="470">
        <f>((BY292/I292/Efficiency)*AU292/Cin+(BY292/I292/Efficiency)*RCinEsr)*1000</f>
        <v>0</v>
      </c>
      <c r="CD292" s="577">
        <f t="shared" si="455"/>
        <v>-50</v>
      </c>
      <c r="CE292">
        <f t="shared" si="456"/>
        <v>-50</v>
      </c>
    </row>
    <row r="293" spans="5:83" x14ac:dyDescent="0.2">
      <c r="E293" s="175">
        <v>76</v>
      </c>
      <c r="F293" s="222">
        <f t="shared" si="457"/>
        <v>0.6080000000000001</v>
      </c>
      <c r="G293" s="222"/>
      <c r="H293" s="222">
        <f t="shared" si="428"/>
        <v>7.2960000000000012</v>
      </c>
      <c r="I293" s="556">
        <f t="shared" si="429"/>
        <v>42</v>
      </c>
      <c r="J293" s="452">
        <f t="shared" si="430"/>
        <v>12.25</v>
      </c>
      <c r="K293" s="452">
        <f t="shared" si="431"/>
        <v>54.25</v>
      </c>
      <c r="L293" s="452"/>
      <c r="M293" s="222">
        <f t="shared" si="432"/>
        <v>0.22580645161290322</v>
      </c>
      <c r="N293" s="177">
        <f t="shared" si="433"/>
        <v>18.469838709677418</v>
      </c>
      <c r="O293" s="177">
        <f t="shared" si="425"/>
        <v>7.2960000000000012</v>
      </c>
      <c r="P293" s="222">
        <f t="shared" si="434"/>
        <v>1.5391532258064515</v>
      </c>
      <c r="Q293" s="222">
        <f t="shared" si="435"/>
        <v>12</v>
      </c>
      <c r="R293" s="222"/>
      <c r="S293" s="177">
        <f t="shared" si="436"/>
        <v>92.644281715258657</v>
      </c>
      <c r="T293" s="177">
        <f t="shared" si="437"/>
        <v>12</v>
      </c>
      <c r="U293" s="222">
        <f t="shared" si="438"/>
        <v>1.6195918367346942</v>
      </c>
      <c r="V293" s="222">
        <f t="shared" si="439"/>
        <v>0.26993197278911574</v>
      </c>
      <c r="W293" s="222">
        <f t="shared" si="440"/>
        <v>0.9254810495626824</v>
      </c>
      <c r="X293" s="202">
        <f t="shared" si="441"/>
        <v>350</v>
      </c>
      <c r="Y293" s="452">
        <f t="shared" si="427"/>
        <v>350</v>
      </c>
      <c r="AA293" s="222">
        <f t="shared" si="442"/>
        <v>3.8709677419354835</v>
      </c>
      <c r="AB293" s="178">
        <f t="shared" si="443"/>
        <v>2.2119815668202762</v>
      </c>
      <c r="AC293" s="178">
        <f t="shared" si="444"/>
        <v>1.4984391259105099</v>
      </c>
      <c r="AD293" s="178"/>
      <c r="AE293" s="178">
        <f t="shared" si="445"/>
        <v>0.46857142857142853</v>
      </c>
      <c r="AF293" s="560">
        <f>MAX(12000,F293/(0.5*AE293/1000000*Isw_min*Nps))/1000</f>
        <v>3164.7828673408699</v>
      </c>
      <c r="AG293" s="543">
        <f t="shared" si="446"/>
        <v>6.723999999999998E-2</v>
      </c>
      <c r="AI293" s="178">
        <f t="shared" si="447"/>
        <v>2.465765601187591</v>
      </c>
      <c r="AJ293" s="178">
        <f t="shared" si="448"/>
        <v>2.465765601187591</v>
      </c>
      <c r="AK293" s="178">
        <f t="shared" si="449"/>
        <v>2.4190856305093269</v>
      </c>
      <c r="AM293" s="560">
        <f t="shared" si="450"/>
        <v>608.00000000000011</v>
      </c>
      <c r="AN293" s="470">
        <f t="shared" si="451"/>
        <v>350</v>
      </c>
      <c r="AP293">
        <f t="shared" si="452"/>
        <v>608.00000000000011</v>
      </c>
      <c r="AQ293">
        <f t="shared" si="453"/>
        <v>350</v>
      </c>
      <c r="AS293" s="6">
        <f t="shared" si="426"/>
        <v>2.8571428571428572</v>
      </c>
      <c r="AT293" s="6">
        <f t="shared" si="454"/>
        <v>0.41096093353126517</v>
      </c>
      <c r="AU293" s="6">
        <f t="shared" si="393"/>
        <v>2.4461819236115918</v>
      </c>
      <c r="AV293" s="6"/>
      <c r="AW293" s="178">
        <f t="shared" si="394"/>
        <v>0.14383632673594279</v>
      </c>
      <c r="AX293" s="178"/>
      <c r="BA293" s="470">
        <f>L*Isw_max^2/(2*Vout_ripple*Vout)*1000000000*((1+M293)/2)^2</f>
        <v>15.348186929124752</v>
      </c>
      <c r="BB293" s="470">
        <f>L*F293^2/(2*Cout*Vout*Nps^2)*1000000000*((1+M293)/(1-M293))^2+F293*RCoutEsr</f>
        <v>7.5749661150512235</v>
      </c>
      <c r="BC293" s="6">
        <f t="shared" si="392"/>
        <v>0.66266938883023019</v>
      </c>
      <c r="BD293" s="470">
        <f>((BY293/I293/Efficiency)*AU293/Cin+(BY293/I293/Efficiency)*RCinEsr)*1000</f>
        <v>0</v>
      </c>
      <c r="CD293" s="577">
        <f t="shared" si="455"/>
        <v>-50</v>
      </c>
      <c r="CE293">
        <f t="shared" si="456"/>
        <v>-50</v>
      </c>
    </row>
    <row r="294" spans="5:83" x14ac:dyDescent="0.2">
      <c r="E294" s="175">
        <v>77</v>
      </c>
      <c r="F294" s="222">
        <f t="shared" si="457"/>
        <v>0.6160000000000001</v>
      </c>
      <c r="G294" s="222"/>
      <c r="H294" s="222">
        <f t="shared" si="428"/>
        <v>7.3920000000000012</v>
      </c>
      <c r="I294" s="556">
        <f t="shared" si="429"/>
        <v>42</v>
      </c>
      <c r="J294" s="452">
        <f t="shared" si="430"/>
        <v>12.25</v>
      </c>
      <c r="K294" s="452">
        <f t="shared" si="431"/>
        <v>54.25</v>
      </c>
      <c r="L294" s="452"/>
      <c r="M294" s="222">
        <f t="shared" si="432"/>
        <v>0.22580645161290322</v>
      </c>
      <c r="N294" s="177">
        <f t="shared" si="433"/>
        <v>18.469838709677418</v>
      </c>
      <c r="O294" s="177">
        <f t="shared" si="425"/>
        <v>7.3920000000000012</v>
      </c>
      <c r="P294" s="222">
        <f t="shared" si="434"/>
        <v>1.5391532258064515</v>
      </c>
      <c r="Q294" s="222">
        <f t="shared" si="435"/>
        <v>12</v>
      </c>
      <c r="R294" s="222"/>
      <c r="S294" s="177">
        <f t="shared" si="436"/>
        <v>90.899286544712751</v>
      </c>
      <c r="T294" s="177">
        <f t="shared" si="437"/>
        <v>12</v>
      </c>
      <c r="U294" s="222">
        <f t="shared" si="438"/>
        <v>1.640902255639098</v>
      </c>
      <c r="V294" s="222">
        <f t="shared" si="439"/>
        <v>0.273483709273183</v>
      </c>
      <c r="W294" s="222">
        <f t="shared" si="440"/>
        <v>0.93765843179377029</v>
      </c>
      <c r="X294" s="202">
        <f t="shared" si="441"/>
        <v>350</v>
      </c>
      <c r="Y294" s="452">
        <f t="shared" si="427"/>
        <v>350</v>
      </c>
      <c r="AA294" s="222">
        <f t="shared" si="442"/>
        <v>3.8709677419354835</v>
      </c>
      <c r="AB294" s="178">
        <f t="shared" si="443"/>
        <v>2.2119815668202762</v>
      </c>
      <c r="AC294" s="178">
        <f t="shared" si="444"/>
        <v>1.4984391259105099</v>
      </c>
      <c r="AD294" s="178"/>
      <c r="AE294" s="178">
        <f t="shared" si="445"/>
        <v>0.46857142857142853</v>
      </c>
      <c r="AF294" s="560">
        <f>MAX(12000,F294/(0.5*AE294/1000000*Isw_min*Nps))/1000</f>
        <v>3206.424747174302</v>
      </c>
      <c r="AG294" s="543">
        <f t="shared" si="446"/>
        <v>6.723999999999998E-2</v>
      </c>
      <c r="AI294" s="178">
        <f t="shared" si="447"/>
        <v>2.4819347291981715</v>
      </c>
      <c r="AJ294" s="178">
        <f t="shared" si="448"/>
        <v>2.4819347291981715</v>
      </c>
      <c r="AK294" s="178">
        <f t="shared" si="449"/>
        <v>2.4310627623690158</v>
      </c>
      <c r="AM294" s="560">
        <f t="shared" si="450"/>
        <v>616.00000000000011</v>
      </c>
      <c r="AN294" s="470">
        <f t="shared" si="451"/>
        <v>350</v>
      </c>
      <c r="AP294">
        <f t="shared" si="452"/>
        <v>616.00000000000011</v>
      </c>
      <c r="AQ294">
        <f t="shared" si="453"/>
        <v>350</v>
      </c>
      <c r="AS294" s="6">
        <f t="shared" si="426"/>
        <v>2.8571428571428572</v>
      </c>
      <c r="AT294" s="6">
        <f t="shared" si="454"/>
        <v>0.41365578819969517</v>
      </c>
      <c r="AU294" s="6">
        <f t="shared" si="393"/>
        <v>2.443487068943162</v>
      </c>
      <c r="AV294" s="6"/>
      <c r="AW294" s="178">
        <f t="shared" si="394"/>
        <v>0.14477952586989332</v>
      </c>
      <c r="AX294" s="178"/>
      <c r="BA294" s="470">
        <f>L*Isw_max^2/(2*Vout_ripple*Vout)*1000000000*((1+M294)/2)^2</f>
        <v>15.348186929124752</v>
      </c>
      <c r="BB294" s="470">
        <f>L*F294^2/(2*Cout*Vout*Nps^2)*1000000000*((1+M294)/(1-M294))^2+F294*RCoutEsr</f>
        <v>7.751302994483849</v>
      </c>
      <c r="BC294" s="6">
        <f t="shared" si="392"/>
        <v>0.67064908247017008</v>
      </c>
      <c r="BD294" s="470">
        <f>((BY294/I294/Efficiency)*AU294/Cin+(BY294/I294/Efficiency)*RCinEsr)*1000</f>
        <v>0</v>
      </c>
      <c r="CD294" s="577">
        <f t="shared" si="455"/>
        <v>-50</v>
      </c>
      <c r="CE294">
        <f t="shared" si="456"/>
        <v>-50</v>
      </c>
    </row>
    <row r="295" spans="5:83" x14ac:dyDescent="0.2">
      <c r="E295" s="175">
        <v>78</v>
      </c>
      <c r="F295" s="222">
        <f t="shared" si="457"/>
        <v>0.62400000000000011</v>
      </c>
      <c r="G295" s="222"/>
      <c r="H295" s="222">
        <f t="shared" si="428"/>
        <v>7.4880000000000013</v>
      </c>
      <c r="I295" s="556">
        <f t="shared" si="429"/>
        <v>42</v>
      </c>
      <c r="J295" s="452">
        <f t="shared" si="430"/>
        <v>12.25</v>
      </c>
      <c r="K295" s="452">
        <f t="shared" si="431"/>
        <v>54.25</v>
      </c>
      <c r="L295" s="452"/>
      <c r="M295" s="222">
        <f t="shared" si="432"/>
        <v>0.22580645161290322</v>
      </c>
      <c r="N295" s="177">
        <f t="shared" si="433"/>
        <v>18.469838709677418</v>
      </c>
      <c r="O295" s="177">
        <f t="shared" si="425"/>
        <v>7.4880000000000013</v>
      </c>
      <c r="P295" s="222">
        <f t="shared" si="434"/>
        <v>1.5391532258064515</v>
      </c>
      <c r="Q295" s="222">
        <f t="shared" si="435"/>
        <v>12</v>
      </c>
      <c r="R295" s="222"/>
      <c r="S295" s="177">
        <f t="shared" si="436"/>
        <v>89.199115942793711</v>
      </c>
      <c r="T295" s="177">
        <f t="shared" si="437"/>
        <v>12</v>
      </c>
      <c r="U295" s="222">
        <f t="shared" si="438"/>
        <v>1.662212674543502</v>
      </c>
      <c r="V295" s="222">
        <f t="shared" si="439"/>
        <v>0.27703544575725036</v>
      </c>
      <c r="W295" s="222">
        <f t="shared" si="440"/>
        <v>0.94983581402485828</v>
      </c>
      <c r="X295" s="202">
        <f t="shared" si="441"/>
        <v>350</v>
      </c>
      <c r="Y295" s="452">
        <f t="shared" si="427"/>
        <v>350</v>
      </c>
      <c r="AA295" s="222">
        <f t="shared" si="442"/>
        <v>3.8709677419354835</v>
      </c>
      <c r="AB295" s="178">
        <f t="shared" si="443"/>
        <v>2.2119815668202762</v>
      </c>
      <c r="AC295" s="178">
        <f t="shared" si="444"/>
        <v>1.4984391259105099</v>
      </c>
      <c r="AD295" s="178"/>
      <c r="AE295" s="178">
        <f t="shared" si="445"/>
        <v>0.46857142857142853</v>
      </c>
      <c r="AF295" s="560">
        <f>MAX(12000,F295/(0.5*AE295/1000000*Isw_min*Nps))/1000</f>
        <v>3248.0666270077345</v>
      </c>
      <c r="AG295" s="543">
        <f t="shared" si="446"/>
        <v>6.723999999999998E-2</v>
      </c>
      <c r="AI295" s="178">
        <f t="shared" si="447"/>
        <v>2.4979991993593598</v>
      </c>
      <c r="AJ295" s="178">
        <f t="shared" si="448"/>
        <v>2.4979991993593598</v>
      </c>
      <c r="AK295" s="178">
        <f t="shared" si="449"/>
        <v>2.4429623698958221</v>
      </c>
      <c r="AM295" s="560">
        <f t="shared" si="450"/>
        <v>624.00000000000011</v>
      </c>
      <c r="AN295" s="470">
        <f t="shared" si="451"/>
        <v>350</v>
      </c>
      <c r="AP295">
        <f t="shared" si="452"/>
        <v>624.00000000000011</v>
      </c>
      <c r="AQ295">
        <f t="shared" si="453"/>
        <v>350</v>
      </c>
      <c r="AS295" s="6">
        <f t="shared" si="426"/>
        <v>2.8571428571428572</v>
      </c>
      <c r="AT295" s="6">
        <f t="shared" si="454"/>
        <v>0.41633319989322659</v>
      </c>
      <c r="AU295" s="6">
        <f t="shared" si="393"/>
        <v>2.4408096572496305</v>
      </c>
      <c r="AV295" s="6"/>
      <c r="AW295" s="178">
        <f t="shared" si="394"/>
        <v>0.1457166199626293</v>
      </c>
      <c r="AX295" s="178"/>
      <c r="BA295" s="470">
        <f>L*Isw_max^2/(2*Vout_ripple*Vout)*1000000000*((1+M295)/2)^2</f>
        <v>15.348186929124752</v>
      </c>
      <c r="BB295" s="470">
        <f>L*F295^2/(2*Cout*Vout*Nps^2)*1000000000*((1+M295)/(1-M295))^2+F295*RCoutEsr</f>
        <v>7.929631205673763</v>
      </c>
      <c r="BC295" s="6">
        <f t="shared" si="392"/>
        <v>0.6786144143130135</v>
      </c>
      <c r="BD295" s="470">
        <f>((BY295/I295/Efficiency)*AU295/Cin+(BY295/I295/Efficiency)*RCinEsr)*1000</f>
        <v>0</v>
      </c>
      <c r="CD295" s="577">
        <f t="shared" si="455"/>
        <v>-50</v>
      </c>
      <c r="CE295">
        <f t="shared" si="456"/>
        <v>-50</v>
      </c>
    </row>
    <row r="296" spans="5:83" x14ac:dyDescent="0.2">
      <c r="E296" s="175">
        <v>79</v>
      </c>
      <c r="F296" s="222">
        <f t="shared" si="457"/>
        <v>0.63200000000000012</v>
      </c>
      <c r="G296" s="222"/>
      <c r="H296" s="222">
        <f t="shared" si="428"/>
        <v>7.5840000000000014</v>
      </c>
      <c r="I296" s="556">
        <f t="shared" si="429"/>
        <v>42</v>
      </c>
      <c r="J296" s="452">
        <f t="shared" si="430"/>
        <v>12.25</v>
      </c>
      <c r="K296" s="452">
        <f t="shared" si="431"/>
        <v>54.25</v>
      </c>
      <c r="L296" s="452"/>
      <c r="M296" s="222">
        <f t="shared" si="432"/>
        <v>0.22580645161290322</v>
      </c>
      <c r="N296" s="177">
        <f t="shared" si="433"/>
        <v>18.469838709677418</v>
      </c>
      <c r="O296" s="177">
        <f t="shared" si="425"/>
        <v>7.5840000000000014</v>
      </c>
      <c r="P296" s="222">
        <f t="shared" si="434"/>
        <v>1.5391532258064515</v>
      </c>
      <c r="Q296" s="222">
        <f t="shared" si="435"/>
        <v>12</v>
      </c>
      <c r="R296" s="222"/>
      <c r="S296" s="177">
        <f t="shared" si="436"/>
        <v>87.542069135041274</v>
      </c>
      <c r="T296" s="177">
        <f t="shared" si="437"/>
        <v>12</v>
      </c>
      <c r="U296" s="222">
        <f t="shared" si="438"/>
        <v>1.6835230934479057</v>
      </c>
      <c r="V296" s="222">
        <f t="shared" si="439"/>
        <v>0.28058718224131762</v>
      </c>
      <c r="W296" s="222">
        <f t="shared" si="440"/>
        <v>0.96201319625594617</v>
      </c>
      <c r="X296" s="202">
        <f t="shared" si="441"/>
        <v>350</v>
      </c>
      <c r="Y296" s="452">
        <f t="shared" si="427"/>
        <v>350</v>
      </c>
      <c r="AA296" s="222">
        <f t="shared" si="442"/>
        <v>3.8709677419354835</v>
      </c>
      <c r="AB296" s="178">
        <f t="shared" si="443"/>
        <v>2.2119815668202762</v>
      </c>
      <c r="AC296" s="178">
        <f t="shared" si="444"/>
        <v>1.4984391259105099</v>
      </c>
      <c r="AD296" s="178"/>
      <c r="AE296" s="178">
        <f t="shared" si="445"/>
        <v>0.46857142857142853</v>
      </c>
      <c r="AF296" s="560">
        <f>MAX(12000,F296/(0.5*AE296/1000000*Isw_min*Nps))/1000</f>
        <v>3289.7085068411675</v>
      </c>
      <c r="AG296" s="543">
        <f t="shared" si="446"/>
        <v>6.723999999999998E-2</v>
      </c>
      <c r="AI296" s="178">
        <f t="shared" si="447"/>
        <v>2.5139610179953071</v>
      </c>
      <c r="AJ296" s="178">
        <f t="shared" si="448"/>
        <v>2.5139610179953071</v>
      </c>
      <c r="AK296" s="178">
        <f t="shared" si="449"/>
        <v>2.4547859392557831</v>
      </c>
      <c r="AM296" s="560">
        <f t="shared" si="450"/>
        <v>632.00000000000011</v>
      </c>
      <c r="AN296" s="470">
        <f t="shared" si="451"/>
        <v>350</v>
      </c>
      <c r="AP296">
        <f t="shared" si="452"/>
        <v>632.00000000000011</v>
      </c>
      <c r="AQ296">
        <f t="shared" si="453"/>
        <v>350</v>
      </c>
      <c r="AS296" s="6">
        <f t="shared" si="426"/>
        <v>2.8571428571428572</v>
      </c>
      <c r="AT296" s="6">
        <f t="shared" si="454"/>
        <v>0.41899350299921784</v>
      </c>
      <c r="AU296" s="6">
        <f t="shared" si="393"/>
        <v>2.4381493541436394</v>
      </c>
      <c r="AV296" s="6"/>
      <c r="AW296" s="178">
        <f t="shared" si="394"/>
        <v>0.14664772604972623</v>
      </c>
      <c r="AX296" s="178"/>
      <c r="BA296" s="470">
        <f>L*Isw_max^2/(2*Vout_ripple*Vout)*1000000000*((1+M296)/2)^2</f>
        <v>15.348186929124752</v>
      </c>
      <c r="BB296" s="470">
        <f>L*F296^2/(2*Cout*Vout*Nps^2)*1000000000*((1+M296)/(1-M296))^2+F296*RCoutEsr</f>
        <v>8.1099507486209657</v>
      </c>
      <c r="BC296" s="6">
        <f t="shared" si="392"/>
        <v>0.68656547672237511</v>
      </c>
      <c r="BD296" s="470">
        <f>((BY296/I296/Efficiency)*AU296/Cin+(BY296/I296/Efficiency)*RCinEsr)*1000</f>
        <v>0</v>
      </c>
      <c r="CD296" s="577">
        <f t="shared" si="455"/>
        <v>-50</v>
      </c>
      <c r="CE296">
        <f t="shared" si="456"/>
        <v>-50</v>
      </c>
    </row>
    <row r="297" spans="5:83" x14ac:dyDescent="0.2">
      <c r="E297" s="175">
        <v>80</v>
      </c>
      <c r="F297" s="222">
        <f t="shared" si="457"/>
        <v>0.64000000000000012</v>
      </c>
      <c r="G297" s="222"/>
      <c r="H297" s="222">
        <f t="shared" si="428"/>
        <v>7.6800000000000015</v>
      </c>
      <c r="I297" s="556">
        <f t="shared" si="429"/>
        <v>42</v>
      </c>
      <c r="J297" s="452">
        <f t="shared" si="430"/>
        <v>12.25</v>
      </c>
      <c r="K297" s="452">
        <f t="shared" si="431"/>
        <v>54.25</v>
      </c>
      <c r="L297" s="452"/>
      <c r="M297" s="222">
        <f t="shared" si="432"/>
        <v>0.22580645161290322</v>
      </c>
      <c r="N297" s="177">
        <f t="shared" si="433"/>
        <v>18.469838709677418</v>
      </c>
      <c r="O297" s="177">
        <f t="shared" si="425"/>
        <v>7.6800000000000015</v>
      </c>
      <c r="P297" s="222">
        <f t="shared" si="434"/>
        <v>1.5391532258064515</v>
      </c>
      <c r="Q297" s="222">
        <f t="shared" si="435"/>
        <v>12</v>
      </c>
      <c r="R297" s="222"/>
      <c r="S297" s="177">
        <f t="shared" si="436"/>
        <v>85.926530418819851</v>
      </c>
      <c r="T297" s="177">
        <f t="shared" si="437"/>
        <v>12</v>
      </c>
      <c r="U297" s="222">
        <f t="shared" si="438"/>
        <v>1.7048335123523097</v>
      </c>
      <c r="V297" s="222">
        <f t="shared" si="439"/>
        <v>0.28413891872538499</v>
      </c>
      <c r="W297" s="222">
        <f t="shared" si="440"/>
        <v>0.97419057848703428</v>
      </c>
      <c r="X297" s="202">
        <f t="shared" si="441"/>
        <v>350</v>
      </c>
      <c r="Y297" s="452">
        <f t="shared" si="427"/>
        <v>350</v>
      </c>
      <c r="AA297" s="222">
        <f t="shared" si="442"/>
        <v>3.8709677419354835</v>
      </c>
      <c r="AB297" s="178">
        <f t="shared" si="443"/>
        <v>2.2119815668202762</v>
      </c>
      <c r="AC297" s="178">
        <f t="shared" si="444"/>
        <v>1.4984391259105099</v>
      </c>
      <c r="AD297" s="178"/>
      <c r="AE297" s="178">
        <f t="shared" si="445"/>
        <v>0.46857142857142853</v>
      </c>
      <c r="AF297" s="560">
        <f>MAX(12000,F297/(0.5*AE297/1000000*Isw_min*Nps))/1000</f>
        <v>3331.3503866745996</v>
      </c>
      <c r="AG297" s="543">
        <f t="shared" si="446"/>
        <v>6.723999999999998E-2</v>
      </c>
      <c r="AI297" s="178">
        <f t="shared" si="447"/>
        <v>2.529822128134704</v>
      </c>
      <c r="AJ297" s="178">
        <f t="shared" si="448"/>
        <v>2.529822128134704</v>
      </c>
      <c r="AK297" s="178">
        <f t="shared" si="449"/>
        <v>2.4665349097294103</v>
      </c>
      <c r="AM297" s="560">
        <f t="shared" si="450"/>
        <v>640.00000000000011</v>
      </c>
      <c r="AN297" s="470">
        <f t="shared" si="451"/>
        <v>350</v>
      </c>
      <c r="AP297">
        <f t="shared" si="452"/>
        <v>640.00000000000011</v>
      </c>
      <c r="AQ297">
        <f t="shared" si="453"/>
        <v>350</v>
      </c>
      <c r="AS297" s="6">
        <f t="shared" si="426"/>
        <v>2.8571428571428572</v>
      </c>
      <c r="AT297" s="6">
        <f t="shared" si="454"/>
        <v>0.42163702135578396</v>
      </c>
      <c r="AU297" s="6">
        <f t="shared" si="393"/>
        <v>2.4355058357870734</v>
      </c>
      <c r="AV297" s="6"/>
      <c r="AW297" s="178">
        <f t="shared" si="394"/>
        <v>0.14757295747452437</v>
      </c>
      <c r="AX297" s="178"/>
      <c r="BA297" s="470">
        <f>L*Isw_max^2/(2*Vout_ripple*Vout)*1000000000*((1+M297)/2)^2</f>
        <v>15.348186929124752</v>
      </c>
      <c r="BB297" s="470">
        <f>L*F297^2/(2*Cout*Vout*Nps^2)*1000000000*((1+M297)/(1-M297))^2+F297*RCoutEsr</f>
        <v>8.2922616233254569</v>
      </c>
      <c r="BC297" s="6">
        <f t="shared" si="392"/>
        <v>0.69450236030241252</v>
      </c>
      <c r="BD297" s="470">
        <f>((BY297/I297/Efficiency)*AU297/Cin+(BY297/I297/Efficiency)*RCinEsr)*1000</f>
        <v>0</v>
      </c>
      <c r="CD297" s="577">
        <f t="shared" si="455"/>
        <v>-50</v>
      </c>
      <c r="CE297">
        <f t="shared" si="456"/>
        <v>-50</v>
      </c>
    </row>
    <row r="298" spans="5:83" x14ac:dyDescent="0.2">
      <c r="E298" s="175">
        <v>81</v>
      </c>
      <c r="F298" s="222">
        <f t="shared" si="457"/>
        <v>0.64800000000000013</v>
      </c>
      <c r="G298" s="222"/>
      <c r="H298" s="222">
        <f t="shared" si="428"/>
        <v>7.7760000000000016</v>
      </c>
      <c r="I298" s="556">
        <f t="shared" si="429"/>
        <v>42</v>
      </c>
      <c r="J298" s="452">
        <f t="shared" si="430"/>
        <v>12.25</v>
      </c>
      <c r="K298" s="452">
        <f t="shared" si="431"/>
        <v>54.25</v>
      </c>
      <c r="L298" s="452"/>
      <c r="M298" s="222">
        <f t="shared" si="432"/>
        <v>0.22580645161290322</v>
      </c>
      <c r="N298" s="177">
        <f t="shared" si="433"/>
        <v>18.469838709677418</v>
      </c>
      <c r="O298" s="177">
        <f t="shared" si="425"/>
        <v>7.7760000000000016</v>
      </c>
      <c r="P298" s="222">
        <f t="shared" si="434"/>
        <v>1.5391532258064515</v>
      </c>
      <c r="Q298" s="222">
        <f t="shared" si="435"/>
        <v>12</v>
      </c>
      <c r="R298" s="222"/>
      <c r="S298" s="177">
        <f t="shared" si="436"/>
        <v>84.350963912924868</v>
      </c>
      <c r="T298" s="177">
        <f t="shared" si="437"/>
        <v>12</v>
      </c>
      <c r="U298" s="222">
        <f t="shared" si="438"/>
        <v>1.7261439312567135</v>
      </c>
      <c r="V298" s="222">
        <f t="shared" si="439"/>
        <v>0.28769065520945225</v>
      </c>
      <c r="W298" s="222">
        <f t="shared" si="440"/>
        <v>0.98636796071812194</v>
      </c>
      <c r="X298" s="202">
        <f t="shared" si="441"/>
        <v>350</v>
      </c>
      <c r="Y298" s="452">
        <f t="shared" si="427"/>
        <v>350</v>
      </c>
      <c r="AA298" s="222">
        <f t="shared" si="442"/>
        <v>3.8709677419354835</v>
      </c>
      <c r="AB298" s="178">
        <f t="shared" si="443"/>
        <v>2.2119815668202762</v>
      </c>
      <c r="AC298" s="178">
        <f t="shared" si="444"/>
        <v>1.4984391259105099</v>
      </c>
      <c r="AD298" s="178"/>
      <c r="AE298" s="178">
        <f t="shared" si="445"/>
        <v>0.46857142857142853</v>
      </c>
      <c r="AF298" s="560">
        <f>MAX(12000,F298/(0.5*AE298/1000000*Isw_min*Nps))/1000</f>
        <v>3372.9922665080321</v>
      </c>
      <c r="AG298" s="543">
        <f t="shared" si="446"/>
        <v>6.723999999999998E-2</v>
      </c>
      <c r="AI298" s="178">
        <f t="shared" si="447"/>
        <v>2.5455844122715714</v>
      </c>
      <c r="AJ298" s="178">
        <f t="shared" si="448"/>
        <v>2.5455844122715714</v>
      </c>
      <c r="AK298" s="178">
        <f t="shared" si="449"/>
        <v>2.4782106757567197</v>
      </c>
      <c r="AM298" s="560">
        <f t="shared" si="450"/>
        <v>648.00000000000011</v>
      </c>
      <c r="AN298" s="470">
        <f t="shared" si="451"/>
        <v>350</v>
      </c>
      <c r="AP298">
        <f t="shared" si="452"/>
        <v>648.00000000000011</v>
      </c>
      <c r="AQ298">
        <f t="shared" si="453"/>
        <v>350</v>
      </c>
      <c r="AS298" s="6">
        <f t="shared" si="426"/>
        <v>2.8571428571428572</v>
      </c>
      <c r="AT298" s="6">
        <f t="shared" si="454"/>
        <v>0.42426406871192857</v>
      </c>
      <c r="AU298" s="6">
        <f t="shared" si="393"/>
        <v>2.4328787884309286</v>
      </c>
      <c r="AV298" s="6"/>
      <c r="AW298" s="178">
        <f t="shared" si="394"/>
        <v>0.14849242404917498</v>
      </c>
      <c r="AX298" s="178"/>
      <c r="BA298" s="470">
        <f>L*Isw_max^2/(2*Vout_ripple*Vout)*1000000000*((1+M298)/2)^2</f>
        <v>15.348186929124752</v>
      </c>
      <c r="BB298" s="470">
        <f>L*F298^2/(2*Cout*Vout*Nps^2)*1000000000*((1+M298)/(1-M298))^2+F298*RCoutEsr</f>
        <v>8.4765638297872403</v>
      </c>
      <c r="BC298" s="6">
        <f t="shared" ref="BC298:BC317" si="458">H298/Efficiency/I298*AU298/Vinripple1</f>
        <v>0.70242515395298988</v>
      </c>
      <c r="BD298" s="470">
        <f>((BY298/I298/Efficiency)*AU298/Cin+(BY298/I298/Efficiency)*RCinEsr)*1000</f>
        <v>0</v>
      </c>
      <c r="CD298" s="577">
        <f t="shared" si="455"/>
        <v>-50</v>
      </c>
      <c r="CE298">
        <f t="shared" si="456"/>
        <v>-50</v>
      </c>
    </row>
    <row r="299" spans="5:83" x14ac:dyDescent="0.2">
      <c r="E299" s="175">
        <v>82</v>
      </c>
      <c r="F299" s="222">
        <f t="shared" si="457"/>
        <v>0.65600000000000003</v>
      </c>
      <c r="G299" s="222"/>
      <c r="H299" s="222">
        <f t="shared" si="428"/>
        <v>7.8719999999999999</v>
      </c>
      <c r="I299" s="556">
        <f t="shared" si="429"/>
        <v>42</v>
      </c>
      <c r="J299" s="452">
        <f t="shared" si="430"/>
        <v>12.25</v>
      </c>
      <c r="K299" s="452">
        <f t="shared" si="431"/>
        <v>54.25</v>
      </c>
      <c r="L299" s="452"/>
      <c r="M299" s="222">
        <f t="shared" si="432"/>
        <v>0.22580645161290322</v>
      </c>
      <c r="N299" s="177">
        <f t="shared" si="433"/>
        <v>18.469838709677418</v>
      </c>
      <c r="O299" s="177">
        <f t="shared" si="425"/>
        <v>7.8719999999999999</v>
      </c>
      <c r="P299" s="222">
        <f t="shared" si="434"/>
        <v>1.5391532258064515</v>
      </c>
      <c r="Q299" s="222">
        <f t="shared" si="435"/>
        <v>12</v>
      </c>
      <c r="R299" s="222"/>
      <c r="S299" s="177">
        <f t="shared" si="436"/>
        <v>82.813908691396989</v>
      </c>
      <c r="T299" s="177">
        <f t="shared" si="437"/>
        <v>12</v>
      </c>
      <c r="U299" s="222">
        <f t="shared" si="438"/>
        <v>1.7474543501611171</v>
      </c>
      <c r="V299" s="222">
        <f t="shared" si="439"/>
        <v>0.29124239169351951</v>
      </c>
      <c r="W299" s="222">
        <f t="shared" si="440"/>
        <v>0.99854534294920971</v>
      </c>
      <c r="X299" s="202">
        <f t="shared" si="441"/>
        <v>350</v>
      </c>
      <c r="Y299" s="452">
        <f t="shared" si="427"/>
        <v>350</v>
      </c>
      <c r="AA299" s="222">
        <f t="shared" si="442"/>
        <v>3.8709677419354835</v>
      </c>
      <c r="AB299" s="178">
        <f t="shared" si="443"/>
        <v>2.2119815668202762</v>
      </c>
      <c r="AC299" s="178">
        <f t="shared" si="444"/>
        <v>1.4984391259105099</v>
      </c>
      <c r="AD299" s="178"/>
      <c r="AE299" s="178">
        <f t="shared" si="445"/>
        <v>0.46857142857142853</v>
      </c>
      <c r="AF299" s="560">
        <f>MAX(12000,F299/(0.5*AE299/1000000*Isw_min*Nps))/1000</f>
        <v>3414.6341463414642</v>
      </c>
      <c r="AG299" s="543">
        <f t="shared" si="446"/>
        <v>6.723999999999998E-2</v>
      </c>
      <c r="AI299" s="178">
        <f t="shared" si="447"/>
        <v>2.5612496949731396</v>
      </c>
      <c r="AJ299" s="178">
        <f t="shared" si="448"/>
        <v>2.5612496949731396</v>
      </c>
      <c r="AK299" s="178">
        <f t="shared" si="449"/>
        <v>2.4898145888689927</v>
      </c>
      <c r="AM299" s="560">
        <f t="shared" si="450"/>
        <v>656</v>
      </c>
      <c r="AN299" s="470">
        <f t="shared" si="451"/>
        <v>350</v>
      </c>
      <c r="AP299">
        <f t="shared" si="452"/>
        <v>656</v>
      </c>
      <c r="AQ299">
        <f t="shared" si="453"/>
        <v>350</v>
      </c>
      <c r="AS299" s="6">
        <f t="shared" si="426"/>
        <v>2.8571428571428572</v>
      </c>
      <c r="AT299" s="6">
        <f t="shared" si="454"/>
        <v>0.42687494916218993</v>
      </c>
      <c r="AU299" s="6">
        <f t="shared" ref="AU299:AU317" si="459">AS299-AT299</f>
        <v>2.4302679079806673</v>
      </c>
      <c r="AV299" s="6"/>
      <c r="AW299" s="178">
        <f t="shared" ref="AW299:AW317" si="460">AT299/AS299</f>
        <v>0.14940623220676646</v>
      </c>
      <c r="AX299" s="178"/>
      <c r="BA299" s="470">
        <f>L*Isw_max^2/(2*Vout_ripple*Vout)*1000000000*((1+M299)/2)^2</f>
        <v>15.348186929124752</v>
      </c>
      <c r="BB299" s="470">
        <f>L*F299^2/(2*Cout*Vout*Nps^2)*1000000000*((1+M299)/(1-M299))^2+F299*RCoutEsr</f>
        <v>8.662857368006307</v>
      </c>
      <c r="BC299" s="6">
        <f t="shared" si="458"/>
        <v>0.71033394492244728</v>
      </c>
      <c r="BD299" s="470">
        <f>((BY299/I299/Efficiency)*AU299/Cin+(BY299/I299/Efficiency)*RCinEsr)*1000</f>
        <v>0</v>
      </c>
      <c r="CD299" s="577">
        <f t="shared" si="455"/>
        <v>-50</v>
      </c>
      <c r="CE299">
        <f t="shared" si="456"/>
        <v>-50</v>
      </c>
    </row>
    <row r="300" spans="5:83" x14ac:dyDescent="0.2">
      <c r="E300" s="175">
        <v>83</v>
      </c>
      <c r="F300" s="222">
        <f t="shared" si="457"/>
        <v>0.66400000000000003</v>
      </c>
      <c r="G300" s="222"/>
      <c r="H300" s="222">
        <f t="shared" si="428"/>
        <v>7.968</v>
      </c>
      <c r="I300" s="556">
        <f t="shared" si="429"/>
        <v>42</v>
      </c>
      <c r="J300" s="452">
        <f t="shared" si="430"/>
        <v>12.25</v>
      </c>
      <c r="K300" s="452">
        <f t="shared" si="431"/>
        <v>54.25</v>
      </c>
      <c r="L300" s="452"/>
      <c r="M300" s="222">
        <f t="shared" si="432"/>
        <v>0.22580645161290322</v>
      </c>
      <c r="N300" s="177">
        <f t="shared" si="433"/>
        <v>18.469838709677418</v>
      </c>
      <c r="O300" s="177">
        <f t="shared" si="425"/>
        <v>7.968</v>
      </c>
      <c r="P300" s="222">
        <f t="shared" si="434"/>
        <v>1.5391532258064515</v>
      </c>
      <c r="Q300" s="222">
        <f t="shared" si="435"/>
        <v>12</v>
      </c>
      <c r="R300" s="222"/>
      <c r="S300" s="177">
        <f t="shared" si="436"/>
        <v>81.313974269142278</v>
      </c>
      <c r="T300" s="177">
        <f t="shared" si="437"/>
        <v>12</v>
      </c>
      <c r="U300" s="222">
        <f t="shared" si="438"/>
        <v>1.7687647690655208</v>
      </c>
      <c r="V300" s="222">
        <f t="shared" si="439"/>
        <v>0.29479412817758682</v>
      </c>
      <c r="W300" s="222">
        <f t="shared" si="440"/>
        <v>1.0107227251802977</v>
      </c>
      <c r="X300" s="202">
        <f t="shared" si="441"/>
        <v>350</v>
      </c>
      <c r="Y300" s="452">
        <f t="shared" si="427"/>
        <v>350</v>
      </c>
      <c r="AA300" s="222">
        <f t="shared" si="442"/>
        <v>3.8709677419354835</v>
      </c>
      <c r="AB300" s="178">
        <f t="shared" si="443"/>
        <v>2.2119815668202762</v>
      </c>
      <c r="AC300" s="178">
        <f t="shared" si="444"/>
        <v>1.4984391259105099</v>
      </c>
      <c r="AD300" s="178"/>
      <c r="AE300" s="178">
        <f t="shared" si="445"/>
        <v>0.46857142857142853</v>
      </c>
      <c r="AF300" s="560">
        <f>MAX(12000,F300/(0.5*AE300/1000000*Isw_min*Nps))/1000</f>
        <v>3456.2760261748967</v>
      </c>
      <c r="AG300" s="543">
        <f t="shared" si="446"/>
        <v>6.723999999999998E-2</v>
      </c>
      <c r="AI300" s="178">
        <f t="shared" si="447"/>
        <v>2.5768197453450252</v>
      </c>
      <c r="AJ300" s="178">
        <f t="shared" si="448"/>
        <v>2.5768197453450252</v>
      </c>
      <c r="AK300" s="178">
        <f t="shared" si="449"/>
        <v>2.5013479595148338</v>
      </c>
      <c r="AM300" s="560">
        <f t="shared" si="450"/>
        <v>664</v>
      </c>
      <c r="AN300" s="470">
        <f t="shared" si="451"/>
        <v>350</v>
      </c>
      <c r="AP300">
        <f t="shared" si="452"/>
        <v>664</v>
      </c>
      <c r="AQ300">
        <f t="shared" si="453"/>
        <v>350</v>
      </c>
      <c r="AS300" s="6">
        <f t="shared" si="426"/>
        <v>2.8571428571428572</v>
      </c>
      <c r="AT300" s="6">
        <f t="shared" si="454"/>
        <v>0.42946995755750417</v>
      </c>
      <c r="AU300" s="6">
        <f t="shared" si="459"/>
        <v>2.4276728995853532</v>
      </c>
      <c r="AV300" s="6"/>
      <c r="AW300" s="178">
        <f t="shared" si="460"/>
        <v>0.15031448514512646</v>
      </c>
      <c r="AX300" s="178"/>
      <c r="BA300" s="470">
        <f>L*Isw_max^2/(2*Vout_ripple*Vout)*1000000000*((1+M300)/2)^2</f>
        <v>15.348186929124752</v>
      </c>
      <c r="BB300" s="470">
        <f>L*F300^2/(2*Cout*Vout*Nps^2)*1000000000*((1+M300)/(1-M300))^2+F300*RCoutEsr</f>
        <v>8.8511422379826659</v>
      </c>
      <c r="BC300" s="6">
        <f t="shared" si="458"/>
        <v>0.71822881885811163</v>
      </c>
      <c r="BD300" s="470">
        <f>((BY300/I300/Efficiency)*AU300/Cin+(BY300/I300/Efficiency)*RCinEsr)*1000</f>
        <v>0</v>
      </c>
      <c r="CD300" s="577">
        <f t="shared" si="455"/>
        <v>-50</v>
      </c>
      <c r="CE300">
        <f t="shared" si="456"/>
        <v>-50</v>
      </c>
    </row>
    <row r="301" spans="5:83" x14ac:dyDescent="0.2">
      <c r="E301" s="175">
        <v>84</v>
      </c>
      <c r="F301" s="222">
        <f t="shared" si="457"/>
        <v>0.67200000000000004</v>
      </c>
      <c r="G301" s="222"/>
      <c r="H301" s="222">
        <f t="shared" si="428"/>
        <v>8.0640000000000001</v>
      </c>
      <c r="I301" s="556">
        <f t="shared" si="429"/>
        <v>42</v>
      </c>
      <c r="J301" s="452">
        <f t="shared" si="430"/>
        <v>12.25</v>
      </c>
      <c r="K301" s="452">
        <f t="shared" si="431"/>
        <v>54.25</v>
      </c>
      <c r="L301" s="452"/>
      <c r="M301" s="222">
        <f t="shared" si="432"/>
        <v>0.22580645161290322</v>
      </c>
      <c r="N301" s="177">
        <f t="shared" si="433"/>
        <v>18.469838709677418</v>
      </c>
      <c r="O301" s="177">
        <f t="shared" si="425"/>
        <v>8.0640000000000001</v>
      </c>
      <c r="P301" s="222">
        <f t="shared" si="434"/>
        <v>1.5391532258064515</v>
      </c>
      <c r="Q301" s="222">
        <f t="shared" si="435"/>
        <v>12</v>
      </c>
      <c r="R301" s="222"/>
      <c r="S301" s="177">
        <f t="shared" si="436"/>
        <v>79.849836410042684</v>
      </c>
      <c r="T301" s="177">
        <f t="shared" si="437"/>
        <v>12</v>
      </c>
      <c r="U301" s="222">
        <f t="shared" si="438"/>
        <v>1.7900751879699248</v>
      </c>
      <c r="V301" s="222">
        <f t="shared" si="439"/>
        <v>0.29834586466165414</v>
      </c>
      <c r="W301" s="222">
        <f t="shared" si="440"/>
        <v>1.0229001074113857</v>
      </c>
      <c r="X301" s="202">
        <f t="shared" si="441"/>
        <v>350</v>
      </c>
      <c r="Y301" s="452">
        <f t="shared" si="427"/>
        <v>350</v>
      </c>
      <c r="AA301" s="222">
        <f t="shared" si="442"/>
        <v>3.8709677419354835</v>
      </c>
      <c r="AB301" s="178">
        <f t="shared" si="443"/>
        <v>2.2119815668202762</v>
      </c>
      <c r="AC301" s="178">
        <f t="shared" si="444"/>
        <v>1.4984391259105099</v>
      </c>
      <c r="AD301" s="178"/>
      <c r="AE301" s="178">
        <f t="shared" si="445"/>
        <v>0.46857142857142853</v>
      </c>
      <c r="AF301" s="560">
        <f>MAX(12000,F301/(0.5*AE301/1000000*Isw_min*Nps))/1000</f>
        <v>3497.9179060083293</v>
      </c>
      <c r="AG301" s="543">
        <f t="shared" si="446"/>
        <v>6.723999999999998E-2</v>
      </c>
      <c r="AI301" s="178">
        <f t="shared" si="447"/>
        <v>2.5922962793631443</v>
      </c>
      <c r="AJ301" s="178">
        <f t="shared" si="448"/>
        <v>2.5922962793631443</v>
      </c>
      <c r="AK301" s="178">
        <f t="shared" si="449"/>
        <v>2.5128120587875147</v>
      </c>
      <c r="AM301" s="560">
        <f t="shared" si="450"/>
        <v>672</v>
      </c>
      <c r="AN301" s="470">
        <f t="shared" si="451"/>
        <v>350</v>
      </c>
      <c r="AP301">
        <f t="shared" si="452"/>
        <v>672</v>
      </c>
      <c r="AQ301">
        <f t="shared" si="453"/>
        <v>350</v>
      </c>
      <c r="AS301" s="6">
        <f t="shared" si="426"/>
        <v>2.8571428571428572</v>
      </c>
      <c r="AT301" s="6">
        <f t="shared" si="454"/>
        <v>0.43204937989385739</v>
      </c>
      <c r="AU301" s="6">
        <f t="shared" si="459"/>
        <v>2.4250934772489998</v>
      </c>
      <c r="AV301" s="6"/>
      <c r="AW301" s="178">
        <f t="shared" si="460"/>
        <v>0.15121728296285009</v>
      </c>
      <c r="AX301" s="178"/>
      <c r="BA301" s="470">
        <f>L*Isw_max^2/(2*Vout_ripple*Vout)*1000000000*((1+M301)/2)^2</f>
        <v>15.348186929124752</v>
      </c>
      <c r="BB301" s="470">
        <f>L*F301^2/(2*Cout*Vout*Nps^2)*1000000000*((1+M301)/(1-M301))^2+F301*RCoutEsr</f>
        <v>9.0414184397163133</v>
      </c>
      <c r="BC301" s="6">
        <f t="shared" si="458"/>
        <v>0.72610985985467136</v>
      </c>
      <c r="BD301" s="470">
        <f>((BY301/I301/Efficiency)*AU301/Cin+(BY301/I301/Efficiency)*RCinEsr)*1000</f>
        <v>0</v>
      </c>
      <c r="CD301" s="577">
        <f t="shared" si="455"/>
        <v>-50</v>
      </c>
      <c r="CE301">
        <f t="shared" si="456"/>
        <v>-50</v>
      </c>
    </row>
    <row r="302" spans="5:83" x14ac:dyDescent="0.2">
      <c r="E302" s="175">
        <v>85</v>
      </c>
      <c r="F302" s="222">
        <f t="shared" si="457"/>
        <v>0.68</v>
      </c>
      <c r="G302" s="222"/>
      <c r="H302" s="222">
        <f t="shared" si="428"/>
        <v>8.16</v>
      </c>
      <c r="I302" s="556">
        <f t="shared" si="429"/>
        <v>42</v>
      </c>
      <c r="J302" s="452">
        <f t="shared" si="430"/>
        <v>12.25</v>
      </c>
      <c r="K302" s="452">
        <f t="shared" si="431"/>
        <v>54.25</v>
      </c>
      <c r="L302" s="452"/>
      <c r="M302" s="222">
        <f t="shared" si="432"/>
        <v>0.22580645161290322</v>
      </c>
      <c r="N302" s="177">
        <f t="shared" si="433"/>
        <v>18.469838709677418</v>
      </c>
      <c r="O302" s="177">
        <f t="shared" si="425"/>
        <v>8.16</v>
      </c>
      <c r="P302" s="222">
        <f t="shared" si="434"/>
        <v>1.5391532258064515</v>
      </c>
      <c r="Q302" s="222">
        <f t="shared" si="435"/>
        <v>12</v>
      </c>
      <c r="R302" s="222"/>
      <c r="S302" s="177">
        <f t="shared" si="436"/>
        <v>78.420233230999941</v>
      </c>
      <c r="T302" s="177">
        <f t="shared" si="437"/>
        <v>12</v>
      </c>
      <c r="U302" s="222">
        <f t="shared" si="438"/>
        <v>1.8113856068743286</v>
      </c>
      <c r="V302" s="222">
        <f t="shared" si="439"/>
        <v>0.30189760114572145</v>
      </c>
      <c r="W302" s="222">
        <f t="shared" si="440"/>
        <v>1.0350774896424735</v>
      </c>
      <c r="X302" s="202">
        <f t="shared" si="441"/>
        <v>350</v>
      </c>
      <c r="Y302" s="452">
        <f t="shared" si="427"/>
        <v>350</v>
      </c>
      <c r="AA302" s="222">
        <f t="shared" si="442"/>
        <v>3.8709677419354835</v>
      </c>
      <c r="AB302" s="178">
        <f t="shared" si="443"/>
        <v>2.2119815668202762</v>
      </c>
      <c r="AC302" s="178">
        <f t="shared" si="444"/>
        <v>1.4984391259105099</v>
      </c>
      <c r="AD302" s="178"/>
      <c r="AE302" s="178">
        <f t="shared" si="445"/>
        <v>0.46857142857142853</v>
      </c>
      <c r="AF302" s="560">
        <f>MAX(12000,F302/(0.5*AE302/1000000*Isw_min*Nps))/1000</f>
        <v>3539.5597858417618</v>
      </c>
      <c r="AG302" s="543">
        <f t="shared" si="446"/>
        <v>6.723999999999998E-2</v>
      </c>
      <c r="AI302" s="178">
        <f t="shared" si="447"/>
        <v>2.6076809620810595</v>
      </c>
      <c r="AJ302" s="178">
        <f t="shared" si="448"/>
        <v>2.6076809620810595</v>
      </c>
      <c r="AK302" s="178">
        <f t="shared" si="449"/>
        <v>2.5242081200600444</v>
      </c>
      <c r="AM302" s="560">
        <f t="shared" si="450"/>
        <v>680</v>
      </c>
      <c r="AN302" s="470">
        <f t="shared" si="451"/>
        <v>350</v>
      </c>
      <c r="AP302">
        <f t="shared" si="452"/>
        <v>680</v>
      </c>
      <c r="AQ302">
        <f t="shared" si="453"/>
        <v>350</v>
      </c>
      <c r="AS302" s="6">
        <f t="shared" si="426"/>
        <v>2.8571428571428572</v>
      </c>
      <c r="AT302" s="6">
        <f t="shared" si="454"/>
        <v>0.43461349368017665</v>
      </c>
      <c r="AU302" s="6">
        <f t="shared" si="459"/>
        <v>2.4225293634626803</v>
      </c>
      <c r="AV302" s="6"/>
      <c r="AW302" s="178">
        <f t="shared" si="460"/>
        <v>0.15211472278806182</v>
      </c>
      <c r="AX302" s="178"/>
      <c r="BA302" s="470">
        <f>L*Isw_max^2/(2*Vout_ripple*Vout)*1000000000*((1+M302)/2)^2</f>
        <v>15.348186929124752</v>
      </c>
      <c r="BB302" s="470">
        <f>L*F302^2/(2*Cout*Vout*Nps^2)*1000000000*((1+M302)/(1-M302))^2+F302*RCoutEsr</f>
        <v>9.2336859732072512</v>
      </c>
      <c r="BC302" s="6">
        <f t="shared" si="458"/>
        <v>0.73397715050052803</v>
      </c>
      <c r="BD302" s="470">
        <f>((BY302/I302/Efficiency)*AU302/Cin+(BY302/I302/Efficiency)*RCinEsr)*1000</f>
        <v>0</v>
      </c>
      <c r="CD302" s="577">
        <f t="shared" si="455"/>
        <v>-50</v>
      </c>
      <c r="CE302">
        <f t="shared" si="456"/>
        <v>-50</v>
      </c>
    </row>
    <row r="303" spans="5:83" x14ac:dyDescent="0.2">
      <c r="E303" s="175">
        <v>86</v>
      </c>
      <c r="F303" s="222">
        <f t="shared" si="457"/>
        <v>0.68800000000000006</v>
      </c>
      <c r="G303" s="222"/>
      <c r="H303" s="222">
        <f t="shared" si="428"/>
        <v>8.2560000000000002</v>
      </c>
      <c r="I303" s="556">
        <f t="shared" si="429"/>
        <v>42</v>
      </c>
      <c r="J303" s="452">
        <f t="shared" si="430"/>
        <v>12.25</v>
      </c>
      <c r="K303" s="452">
        <f t="shared" si="431"/>
        <v>54.25</v>
      </c>
      <c r="L303" s="452"/>
      <c r="M303" s="222">
        <f t="shared" si="432"/>
        <v>0.22580645161290322</v>
      </c>
      <c r="N303" s="177">
        <f t="shared" si="433"/>
        <v>18.469838709677418</v>
      </c>
      <c r="O303" s="177">
        <f t="shared" si="425"/>
        <v>8.2560000000000002</v>
      </c>
      <c r="P303" s="222">
        <f t="shared" si="434"/>
        <v>1.5391532258064515</v>
      </c>
      <c r="Q303" s="222">
        <f t="shared" si="435"/>
        <v>12</v>
      </c>
      <c r="R303" s="222"/>
      <c r="S303" s="177">
        <f t="shared" si="436"/>
        <v>77.02396157782691</v>
      </c>
      <c r="T303" s="177">
        <f t="shared" si="437"/>
        <v>12</v>
      </c>
      <c r="U303" s="222">
        <f t="shared" si="438"/>
        <v>1.8326960257787326</v>
      </c>
      <c r="V303" s="222">
        <f t="shared" si="439"/>
        <v>0.30544933762978882</v>
      </c>
      <c r="W303" s="222">
        <f t="shared" si="440"/>
        <v>1.0472548718735617</v>
      </c>
      <c r="X303" s="202">
        <f t="shared" si="441"/>
        <v>350</v>
      </c>
      <c r="Y303" s="452">
        <f t="shared" si="427"/>
        <v>350</v>
      </c>
      <c r="AA303" s="222">
        <f t="shared" si="442"/>
        <v>3.8709677419354835</v>
      </c>
      <c r="AB303" s="178">
        <f t="shared" si="443"/>
        <v>2.2119815668202762</v>
      </c>
      <c r="AC303" s="178">
        <f t="shared" si="444"/>
        <v>1.4984391259105099</v>
      </c>
      <c r="AD303" s="178"/>
      <c r="AE303" s="178">
        <f t="shared" si="445"/>
        <v>0.46857142857142853</v>
      </c>
      <c r="AF303" s="560">
        <f>MAX(12000,F303/(0.5*AE303/1000000*Isw_min*Nps))/1000</f>
        <v>3581.2016656751944</v>
      </c>
      <c r="AG303" s="543">
        <f t="shared" si="446"/>
        <v>6.723999999999998E-2</v>
      </c>
      <c r="AI303" s="178">
        <f t="shared" si="447"/>
        <v>2.6229754097208002</v>
      </c>
      <c r="AJ303" s="178">
        <f t="shared" si="448"/>
        <v>2.6229754097208002</v>
      </c>
      <c r="AK303" s="178">
        <f t="shared" si="449"/>
        <v>2.5355373405339261</v>
      </c>
      <c r="AM303" s="560">
        <f t="shared" si="450"/>
        <v>688</v>
      </c>
      <c r="AN303" s="470">
        <f t="shared" si="451"/>
        <v>350</v>
      </c>
      <c r="AP303">
        <f t="shared" si="452"/>
        <v>688</v>
      </c>
      <c r="AQ303">
        <f t="shared" si="453"/>
        <v>350</v>
      </c>
      <c r="AS303" s="6">
        <f t="shared" si="426"/>
        <v>2.8571428571428572</v>
      </c>
      <c r="AT303" s="6">
        <f t="shared" si="454"/>
        <v>0.43716256828680006</v>
      </c>
      <c r="AU303" s="6">
        <f t="shared" si="459"/>
        <v>2.4199802888560571</v>
      </c>
      <c r="AV303" s="6"/>
      <c r="AW303" s="178">
        <f t="shared" si="460"/>
        <v>0.15300689890038002</v>
      </c>
      <c r="AX303" s="178"/>
      <c r="BA303" s="470">
        <f>L*Isw_max^2/(2*Vout_ripple*Vout)*1000000000*((1+M303)/2)^2</f>
        <v>15.348186929124752</v>
      </c>
      <c r="BB303" s="470">
        <f>L*F303^2/(2*Cout*Vout*Nps^2)*1000000000*((1+M303)/(1-M303))^2+F303*RCoutEsr</f>
        <v>9.4279448384554811</v>
      </c>
      <c r="BC303" s="6">
        <f t="shared" si="458"/>
        <v>0.74183077192223545</v>
      </c>
      <c r="BD303" s="470">
        <f>((BY303/I303/Efficiency)*AU303/Cin+(BY303/I303/Efficiency)*RCinEsr)*1000</f>
        <v>0</v>
      </c>
      <c r="CD303" s="577">
        <f t="shared" si="455"/>
        <v>-50</v>
      </c>
      <c r="CE303">
        <f t="shared" si="456"/>
        <v>-50</v>
      </c>
    </row>
    <row r="304" spans="5:83" x14ac:dyDescent="0.2">
      <c r="E304" s="175">
        <v>87</v>
      </c>
      <c r="F304" s="222">
        <f t="shared" si="457"/>
        <v>0.69600000000000006</v>
      </c>
      <c r="G304" s="222"/>
      <c r="H304" s="222">
        <f t="shared" si="428"/>
        <v>8.3520000000000003</v>
      </c>
      <c r="I304" s="556">
        <f t="shared" si="429"/>
        <v>42</v>
      </c>
      <c r="J304" s="452">
        <f t="shared" si="430"/>
        <v>12.25</v>
      </c>
      <c r="K304" s="452">
        <f t="shared" si="431"/>
        <v>54.25</v>
      </c>
      <c r="L304" s="452"/>
      <c r="M304" s="222">
        <f t="shared" si="432"/>
        <v>0.22580645161290322</v>
      </c>
      <c r="N304" s="177">
        <f t="shared" si="433"/>
        <v>18.469838709677418</v>
      </c>
      <c r="O304" s="177">
        <f t="shared" si="425"/>
        <v>8.3520000000000003</v>
      </c>
      <c r="P304" s="222">
        <f t="shared" si="434"/>
        <v>1.5391532258064515</v>
      </c>
      <c r="Q304" s="222">
        <f t="shared" si="435"/>
        <v>12</v>
      </c>
      <c r="R304" s="222"/>
      <c r="S304" s="177">
        <f t="shared" si="436"/>
        <v>75.659873651114879</v>
      </c>
      <c r="T304" s="177">
        <f t="shared" si="437"/>
        <v>12</v>
      </c>
      <c r="U304" s="222">
        <f t="shared" si="438"/>
        <v>1.8540064446831364</v>
      </c>
      <c r="V304" s="222">
        <f t="shared" si="439"/>
        <v>0.30900107411385608</v>
      </c>
      <c r="W304" s="222">
        <f t="shared" si="440"/>
        <v>1.0594322541046493</v>
      </c>
      <c r="X304" s="202">
        <f t="shared" si="441"/>
        <v>350</v>
      </c>
      <c r="Y304" s="452">
        <f t="shared" si="427"/>
        <v>350</v>
      </c>
      <c r="AA304" s="222">
        <f t="shared" si="442"/>
        <v>3.8709677419354835</v>
      </c>
      <c r="AB304" s="178">
        <f t="shared" si="443"/>
        <v>2.2119815668202762</v>
      </c>
      <c r="AC304" s="178">
        <f t="shared" si="444"/>
        <v>1.4984391259105099</v>
      </c>
      <c r="AD304" s="178"/>
      <c r="AE304" s="178">
        <f t="shared" si="445"/>
        <v>0.46857142857142853</v>
      </c>
      <c r="AF304" s="560">
        <f>MAX(12000,F304/(0.5*AE304/1000000*Isw_min*Nps))/1000</f>
        <v>3622.8435455086269</v>
      </c>
      <c r="AG304" s="543">
        <f t="shared" si="446"/>
        <v>6.723999999999998E-2</v>
      </c>
      <c r="AI304" s="178">
        <f t="shared" si="447"/>
        <v>2.6381811916545841</v>
      </c>
      <c r="AJ304" s="178">
        <f t="shared" si="448"/>
        <v>2.6381811916545841</v>
      </c>
      <c r="AK304" s="178">
        <f t="shared" si="449"/>
        <v>2.5468008827070996</v>
      </c>
      <c r="AM304" s="560">
        <f t="shared" si="450"/>
        <v>696.00000000000011</v>
      </c>
      <c r="AN304" s="470">
        <f t="shared" si="451"/>
        <v>350</v>
      </c>
      <c r="AP304">
        <f t="shared" si="452"/>
        <v>696.00000000000011</v>
      </c>
      <c r="AQ304">
        <f t="shared" si="453"/>
        <v>350</v>
      </c>
      <c r="AS304" s="6">
        <f t="shared" si="426"/>
        <v>2.8571428571428572</v>
      </c>
      <c r="AT304" s="6">
        <f t="shared" si="454"/>
        <v>0.43969686527576402</v>
      </c>
      <c r="AU304" s="6">
        <f t="shared" si="459"/>
        <v>2.4174459918670932</v>
      </c>
      <c r="AV304" s="6"/>
      <c r="AW304" s="178">
        <f t="shared" si="460"/>
        <v>0.15389390284651741</v>
      </c>
      <c r="AX304" s="178"/>
      <c r="BA304" s="470">
        <f>L*Isw_max^2/(2*Vout_ripple*Vout)*1000000000*((1+M304)/2)^2</f>
        <v>15.348186929124752</v>
      </c>
      <c r="BB304" s="470">
        <f>L*F304^2/(2*Cout*Vout*Nps^2)*1000000000*((1+M304)/(1-M304))^2+F304*RCoutEsr</f>
        <v>9.6241950354609962</v>
      </c>
      <c r="BC304" s="6">
        <f t="shared" si="458"/>
        <v>0.74967080382712192</v>
      </c>
      <c r="BD304" s="470">
        <f>((BY304/I304/Efficiency)*AU304/Cin+(BY304/I304/Efficiency)*RCinEsr)*1000</f>
        <v>0</v>
      </c>
      <c r="CD304" s="577">
        <f t="shared" si="455"/>
        <v>-50</v>
      </c>
      <c r="CE304">
        <f t="shared" si="456"/>
        <v>-50</v>
      </c>
    </row>
    <row r="305" spans="5:83" x14ac:dyDescent="0.2">
      <c r="E305" s="175">
        <v>88</v>
      </c>
      <c r="F305" s="222">
        <f t="shared" si="457"/>
        <v>0.70400000000000007</v>
      </c>
      <c r="G305" s="222"/>
      <c r="H305" s="222">
        <f t="shared" si="428"/>
        <v>8.4480000000000004</v>
      </c>
      <c r="I305" s="556">
        <f t="shared" si="429"/>
        <v>42</v>
      </c>
      <c r="J305" s="452">
        <f t="shared" si="430"/>
        <v>12.25</v>
      </c>
      <c r="K305" s="452">
        <f t="shared" si="431"/>
        <v>54.25</v>
      </c>
      <c r="L305" s="452"/>
      <c r="M305" s="222">
        <f t="shared" si="432"/>
        <v>0.22580645161290322</v>
      </c>
      <c r="N305" s="177">
        <f t="shared" si="433"/>
        <v>18.469838709677418</v>
      </c>
      <c r="O305" s="177">
        <f t="shared" si="425"/>
        <v>8.4480000000000004</v>
      </c>
      <c r="P305" s="222">
        <f t="shared" si="434"/>
        <v>1.5391532258064515</v>
      </c>
      <c r="Q305" s="222">
        <f t="shared" si="435"/>
        <v>12</v>
      </c>
      <c r="R305" s="222"/>
      <c r="S305" s="177">
        <f t="shared" si="436"/>
        <v>74.326873862194077</v>
      </c>
      <c r="T305" s="177">
        <f t="shared" si="437"/>
        <v>12</v>
      </c>
      <c r="U305" s="222">
        <f t="shared" si="438"/>
        <v>1.8753168635875404</v>
      </c>
      <c r="V305" s="222">
        <f t="shared" si="439"/>
        <v>0.31255281059792345</v>
      </c>
      <c r="W305" s="222">
        <f t="shared" si="440"/>
        <v>1.0716096363357375</v>
      </c>
      <c r="X305" s="202">
        <f t="shared" si="441"/>
        <v>350</v>
      </c>
      <c r="Y305" s="452">
        <f t="shared" si="427"/>
        <v>350</v>
      </c>
      <c r="AA305" s="222">
        <f t="shared" si="442"/>
        <v>3.8709677419354835</v>
      </c>
      <c r="AB305" s="178">
        <f t="shared" si="443"/>
        <v>2.2119815668202762</v>
      </c>
      <c r="AC305" s="178">
        <f t="shared" si="444"/>
        <v>1.4984391259105099</v>
      </c>
      <c r="AD305" s="178"/>
      <c r="AE305" s="178">
        <f t="shared" si="445"/>
        <v>0.46857142857142853</v>
      </c>
      <c r="AF305" s="560">
        <f>MAX(12000,F305/(0.5*AE305/1000000*Isw_min*Nps))/1000</f>
        <v>3664.4854253420594</v>
      </c>
      <c r="AG305" s="543">
        <f t="shared" si="446"/>
        <v>6.723999999999998E-2</v>
      </c>
      <c r="AI305" s="178">
        <f t="shared" si="447"/>
        <v>2.6532998322843202</v>
      </c>
      <c r="AJ305" s="178">
        <f t="shared" si="448"/>
        <v>2.6532998322843202</v>
      </c>
      <c r="AK305" s="178">
        <f t="shared" si="449"/>
        <v>2.5579998757661633</v>
      </c>
      <c r="AM305" s="560">
        <f t="shared" si="450"/>
        <v>704.00000000000011</v>
      </c>
      <c r="AN305" s="470">
        <f t="shared" si="451"/>
        <v>350</v>
      </c>
      <c r="AP305">
        <f t="shared" si="452"/>
        <v>704.00000000000011</v>
      </c>
      <c r="AQ305">
        <f t="shared" si="453"/>
        <v>350</v>
      </c>
      <c r="AS305" s="6">
        <f t="shared" si="426"/>
        <v>2.8571428571428572</v>
      </c>
      <c r="AT305" s="6">
        <f t="shared" si="454"/>
        <v>0.44221663871405337</v>
      </c>
      <c r="AU305" s="6">
        <f t="shared" si="459"/>
        <v>2.4149262184288038</v>
      </c>
      <c r="AV305" s="6"/>
      <c r="AW305" s="178">
        <f t="shared" si="460"/>
        <v>0.15477582354991867</v>
      </c>
      <c r="AX305" s="178"/>
      <c r="BA305" s="470">
        <f>L*Isw_max^2/(2*Vout_ripple*Vout)*1000000000*((1+M305)/2)^2</f>
        <v>15.348186929124752</v>
      </c>
      <c r="BB305" s="470">
        <f>L*F305^2/(2*Cout*Vout*Nps^2)*1000000000*((1+M305)/(1-M305))^2+F305*RCoutEsr</f>
        <v>9.8224365642238034</v>
      </c>
      <c r="BC305" s="6">
        <f t="shared" si="458"/>
        <v>0.75749732454419516</v>
      </c>
      <c r="BD305" s="470">
        <f>((BY305/I305/Efficiency)*AU305/Cin+(BY305/I305/Efficiency)*RCinEsr)*1000</f>
        <v>0</v>
      </c>
      <c r="CD305" s="577">
        <f t="shared" si="455"/>
        <v>-50</v>
      </c>
      <c r="CE305">
        <f t="shared" si="456"/>
        <v>-50</v>
      </c>
    </row>
    <row r="306" spans="5:83" x14ac:dyDescent="0.2">
      <c r="E306" s="175">
        <v>89</v>
      </c>
      <c r="F306" s="222">
        <f t="shared" si="457"/>
        <v>0.71200000000000008</v>
      </c>
      <c r="G306" s="222"/>
      <c r="H306" s="222">
        <f t="shared" si="428"/>
        <v>8.5440000000000005</v>
      </c>
      <c r="I306" s="556">
        <f t="shared" si="429"/>
        <v>42</v>
      </c>
      <c r="J306" s="452">
        <f t="shared" si="430"/>
        <v>12.25</v>
      </c>
      <c r="K306" s="452">
        <f t="shared" si="431"/>
        <v>54.25</v>
      </c>
      <c r="L306" s="452"/>
      <c r="M306" s="222">
        <f t="shared" si="432"/>
        <v>0.22580645161290322</v>
      </c>
      <c r="N306" s="177">
        <f t="shared" si="433"/>
        <v>18.469838709677418</v>
      </c>
      <c r="O306" s="177">
        <f t="shared" si="425"/>
        <v>8.5440000000000005</v>
      </c>
      <c r="P306" s="222">
        <f t="shared" si="434"/>
        <v>1.5391532258064515</v>
      </c>
      <c r="Q306" s="222">
        <f t="shared" si="435"/>
        <v>12</v>
      </c>
      <c r="R306" s="222"/>
      <c r="S306" s="177">
        <f t="shared" si="436"/>
        <v>73.023915901091669</v>
      </c>
      <c r="T306" s="177">
        <f t="shared" si="437"/>
        <v>12</v>
      </c>
      <c r="U306" s="222">
        <f t="shared" si="438"/>
        <v>1.8966272824919443</v>
      </c>
      <c r="V306" s="222">
        <f t="shared" si="439"/>
        <v>0.31610454708199071</v>
      </c>
      <c r="W306" s="222">
        <f t="shared" si="440"/>
        <v>1.0837870185668255</v>
      </c>
      <c r="X306" s="202">
        <f t="shared" si="441"/>
        <v>350</v>
      </c>
      <c r="Y306" s="452">
        <f t="shared" si="427"/>
        <v>350</v>
      </c>
      <c r="AA306" s="222">
        <f t="shared" si="442"/>
        <v>3.8709677419354835</v>
      </c>
      <c r="AB306" s="178">
        <f t="shared" si="443"/>
        <v>2.2119815668202762</v>
      </c>
      <c r="AC306" s="178">
        <f t="shared" si="444"/>
        <v>1.4984391259105099</v>
      </c>
      <c r="AD306" s="178"/>
      <c r="AE306" s="178">
        <f t="shared" si="445"/>
        <v>0.46857142857142853</v>
      </c>
      <c r="AF306" s="560">
        <f>MAX(12000,F306/(0.5*AE306/1000000*Isw_min*Nps))/1000</f>
        <v>3706.127305175492</v>
      </c>
      <c r="AG306" s="543">
        <f t="shared" si="446"/>
        <v>6.723999999999998E-2</v>
      </c>
      <c r="AI306" s="178">
        <f t="shared" si="447"/>
        <v>2.668332812825267</v>
      </c>
      <c r="AJ306" s="178">
        <f t="shared" si="448"/>
        <v>2.668332812825267</v>
      </c>
      <c r="AK306" s="178">
        <f t="shared" si="449"/>
        <v>2.5691354169076055</v>
      </c>
      <c r="AM306" s="560">
        <f t="shared" si="450"/>
        <v>712.00000000000011</v>
      </c>
      <c r="AN306" s="470">
        <f t="shared" si="451"/>
        <v>350</v>
      </c>
      <c r="AP306">
        <f t="shared" si="452"/>
        <v>712.00000000000011</v>
      </c>
      <c r="AQ306">
        <f t="shared" si="453"/>
        <v>350</v>
      </c>
      <c r="AS306" s="6">
        <f t="shared" si="426"/>
        <v>2.8571428571428572</v>
      </c>
      <c r="AT306" s="6">
        <f t="shared" si="454"/>
        <v>0.44472213547087786</v>
      </c>
      <c r="AU306" s="6">
        <f t="shared" si="459"/>
        <v>2.4124207216719795</v>
      </c>
      <c r="AV306" s="6"/>
      <c r="AW306" s="178">
        <f t="shared" si="460"/>
        <v>0.15565274741480725</v>
      </c>
      <c r="AX306" s="178"/>
      <c r="BA306" s="470">
        <f>L*Isw_max^2/(2*Vout_ripple*Vout)*1000000000*((1+M306)/2)^2</f>
        <v>15.348186929124752</v>
      </c>
      <c r="BB306" s="470">
        <f>L*F306^2/(2*Cout*Vout*Nps^2)*1000000000*((1+M306)/(1-M306))^2+F306*RCoutEsr</f>
        <v>10.022669424743896</v>
      </c>
      <c r="BC306" s="6">
        <f t="shared" si="458"/>
        <v>0.7653104110634138</v>
      </c>
      <c r="BD306" s="470">
        <f>((BY306/I306/Efficiency)*AU306/Cin+(BY306/I306/Efficiency)*RCinEsr)*1000</f>
        <v>0</v>
      </c>
      <c r="CD306" s="577">
        <f t="shared" si="455"/>
        <v>-50</v>
      </c>
      <c r="CE306">
        <f t="shared" si="456"/>
        <v>-50</v>
      </c>
    </row>
    <row r="307" spans="5:83" x14ac:dyDescent="0.2">
      <c r="E307" s="175">
        <v>90</v>
      </c>
      <c r="F307" s="222">
        <f t="shared" si="457"/>
        <v>0.72000000000000008</v>
      </c>
      <c r="G307" s="222"/>
      <c r="H307" s="222">
        <f t="shared" si="428"/>
        <v>8.64</v>
      </c>
      <c r="I307" s="556">
        <f t="shared" si="429"/>
        <v>42</v>
      </c>
      <c r="J307" s="452">
        <f t="shared" si="430"/>
        <v>12.25</v>
      </c>
      <c r="K307" s="452">
        <f t="shared" si="431"/>
        <v>54.25</v>
      </c>
      <c r="L307" s="452"/>
      <c r="M307" s="222">
        <f t="shared" si="432"/>
        <v>0.22580645161290322</v>
      </c>
      <c r="N307" s="177">
        <f t="shared" si="433"/>
        <v>18.469838709677418</v>
      </c>
      <c r="O307" s="177">
        <f t="shared" si="425"/>
        <v>8.64</v>
      </c>
      <c r="P307" s="222">
        <f t="shared" si="434"/>
        <v>1.5391532258064515</v>
      </c>
      <c r="Q307" s="222">
        <f t="shared" si="435"/>
        <v>12</v>
      </c>
      <c r="R307" s="222"/>
      <c r="S307" s="177">
        <f t="shared" si="436"/>
        <v>71.749999999999972</v>
      </c>
      <c r="T307" s="177">
        <f t="shared" si="437"/>
        <v>12</v>
      </c>
      <c r="U307" s="222">
        <f t="shared" si="438"/>
        <v>1.9179377013963481</v>
      </c>
      <c r="V307" s="222">
        <f t="shared" si="439"/>
        <v>0.31965628356605802</v>
      </c>
      <c r="W307" s="222">
        <f t="shared" si="440"/>
        <v>1.0959644007979132</v>
      </c>
      <c r="X307" s="202">
        <f t="shared" si="441"/>
        <v>350</v>
      </c>
      <c r="Y307" s="452">
        <f t="shared" si="427"/>
        <v>350</v>
      </c>
      <c r="AA307" s="222">
        <f t="shared" si="442"/>
        <v>3.8709677419354835</v>
      </c>
      <c r="AB307" s="178">
        <f t="shared" si="443"/>
        <v>2.2119815668202762</v>
      </c>
      <c r="AC307" s="178">
        <f t="shared" si="444"/>
        <v>1.4984391259105099</v>
      </c>
      <c r="AD307" s="178"/>
      <c r="AE307" s="178">
        <f t="shared" si="445"/>
        <v>0.46857142857142853</v>
      </c>
      <c r="AF307" s="560">
        <f>MAX(12000,F307/(0.5*AE307/1000000*Isw_min*Nps))/1000</f>
        <v>3747.7691850089245</v>
      </c>
      <c r="AG307" s="543">
        <f t="shared" si="446"/>
        <v>6.723999999999998E-2</v>
      </c>
      <c r="AI307" s="178">
        <f t="shared" si="447"/>
        <v>2.6832815729997477</v>
      </c>
      <c r="AJ307" s="178">
        <f t="shared" si="448"/>
        <v>2.6832815729997477</v>
      </c>
      <c r="AK307" s="178">
        <f t="shared" si="449"/>
        <v>2.5802085725924058</v>
      </c>
      <c r="AM307" s="560">
        <f t="shared" si="450"/>
        <v>720.00000000000011</v>
      </c>
      <c r="AN307" s="470">
        <f t="shared" si="451"/>
        <v>350</v>
      </c>
      <c r="AP307">
        <f t="shared" si="452"/>
        <v>720.00000000000011</v>
      </c>
      <c r="AQ307">
        <f t="shared" si="453"/>
        <v>350</v>
      </c>
      <c r="AS307" s="6">
        <f t="shared" si="426"/>
        <v>2.8571428571428572</v>
      </c>
      <c r="AT307" s="6">
        <f t="shared" si="454"/>
        <v>0.44721359549995793</v>
      </c>
      <c r="AU307" s="6">
        <f t="shared" si="459"/>
        <v>2.4099292616428993</v>
      </c>
      <c r="AV307" s="6"/>
      <c r="AW307" s="178">
        <f t="shared" si="460"/>
        <v>0.15652475842498528</v>
      </c>
      <c r="AX307" s="178"/>
      <c r="BA307" s="470">
        <f>L*Isw_max^2/(2*Vout_ripple*Vout)*1000000000*((1+M307)/2)^2</f>
        <v>15.348186929124752</v>
      </c>
      <c r="BB307" s="470">
        <f>L*F307^2/(2*Cout*Vout*Nps^2)*1000000000*((1+M307)/(1-M307))^2+F307*RCoutEsr</f>
        <v>10.22489361702128</v>
      </c>
      <c r="BC307" s="6">
        <f t="shared" si="458"/>
        <v>0.77311013907341142</v>
      </c>
      <c r="BD307" s="470">
        <f>((BY307/I307/Efficiency)*AU307/Cin+(BY307/I307/Efficiency)*RCinEsr)*1000</f>
        <v>0</v>
      </c>
      <c r="CD307" s="577">
        <f t="shared" si="455"/>
        <v>-50</v>
      </c>
      <c r="CE307">
        <f t="shared" si="456"/>
        <v>-50</v>
      </c>
    </row>
    <row r="308" spans="5:83" x14ac:dyDescent="0.2">
      <c r="E308" s="175">
        <v>91</v>
      </c>
      <c r="F308" s="222">
        <f t="shared" si="457"/>
        <v>0.72800000000000009</v>
      </c>
      <c r="G308" s="222"/>
      <c r="H308" s="222">
        <f t="shared" si="428"/>
        <v>8.7360000000000007</v>
      </c>
      <c r="I308" s="556">
        <f t="shared" si="429"/>
        <v>42</v>
      </c>
      <c r="J308" s="452">
        <f t="shared" si="430"/>
        <v>12.25</v>
      </c>
      <c r="K308" s="452">
        <f t="shared" si="431"/>
        <v>54.25</v>
      </c>
      <c r="L308" s="452"/>
      <c r="M308" s="222">
        <f t="shared" si="432"/>
        <v>0.22580645161290322</v>
      </c>
      <c r="N308" s="177">
        <f t="shared" si="433"/>
        <v>18.469838709677418</v>
      </c>
      <c r="O308" s="177">
        <f t="shared" si="425"/>
        <v>8.7360000000000007</v>
      </c>
      <c r="P308" s="222">
        <f t="shared" si="434"/>
        <v>1.5391532258064515</v>
      </c>
      <c r="Q308" s="222">
        <f t="shared" si="435"/>
        <v>12</v>
      </c>
      <c r="R308" s="222"/>
      <c r="S308" s="177">
        <f t="shared" si="436"/>
        <v>70.504170377217818</v>
      </c>
      <c r="T308" s="177">
        <f t="shared" si="437"/>
        <v>12</v>
      </c>
      <c r="U308" s="222">
        <f t="shared" si="438"/>
        <v>1.9392481203007521</v>
      </c>
      <c r="V308" s="222">
        <f t="shared" si="439"/>
        <v>0.32320802005012533</v>
      </c>
      <c r="W308" s="222">
        <f t="shared" si="440"/>
        <v>1.1081417830290012</v>
      </c>
      <c r="X308" s="202">
        <f t="shared" si="441"/>
        <v>350</v>
      </c>
      <c r="Y308" s="452">
        <f t="shared" si="427"/>
        <v>350</v>
      </c>
      <c r="AA308" s="222">
        <f t="shared" si="442"/>
        <v>3.8709677419354835</v>
      </c>
      <c r="AB308" s="178">
        <f t="shared" si="443"/>
        <v>2.2119815668202762</v>
      </c>
      <c r="AC308" s="178">
        <f t="shared" si="444"/>
        <v>1.4984391259105099</v>
      </c>
      <c r="AD308" s="178"/>
      <c r="AE308" s="178">
        <f t="shared" si="445"/>
        <v>0.46857142857142853</v>
      </c>
      <c r="AF308" s="560">
        <f>MAX(12000,F308/(0.5*AE308/1000000*Isw_min*Nps))/1000</f>
        <v>3789.4110648423566</v>
      </c>
      <c r="AG308" s="543">
        <f t="shared" si="446"/>
        <v>6.723999999999998E-2</v>
      </c>
      <c r="AI308" s="178">
        <f t="shared" si="447"/>
        <v>2.6981475126464085</v>
      </c>
      <c r="AJ308" s="178">
        <f t="shared" si="448"/>
        <v>2.6981475126464085</v>
      </c>
      <c r="AK308" s="178">
        <f t="shared" si="449"/>
        <v>2.5912203797380808</v>
      </c>
      <c r="AM308" s="560">
        <f t="shared" si="450"/>
        <v>728.00000000000011</v>
      </c>
      <c r="AN308" s="470">
        <f t="shared" si="451"/>
        <v>350</v>
      </c>
      <c r="AP308">
        <f t="shared" si="452"/>
        <v>728.00000000000011</v>
      </c>
      <c r="AQ308">
        <f t="shared" si="453"/>
        <v>350</v>
      </c>
      <c r="AS308" s="6">
        <f t="shared" si="426"/>
        <v>2.8571428571428572</v>
      </c>
      <c r="AT308" s="6">
        <f t="shared" si="454"/>
        <v>0.44969125210773475</v>
      </c>
      <c r="AU308" s="6">
        <f t="shared" si="459"/>
        <v>2.4074516050351225</v>
      </c>
      <c r="AV308" s="6"/>
      <c r="AW308" s="178">
        <f t="shared" si="460"/>
        <v>0.15739193823770717</v>
      </c>
      <c r="AX308" s="178"/>
      <c r="BA308" s="470">
        <f>L*Isw_max^2/(2*Vout_ripple*Vout)*1000000000*((1+M308)/2)^2</f>
        <v>15.348186929124752</v>
      </c>
      <c r="BB308" s="470">
        <f>L*F308^2/(2*Cout*Vout*Nps^2)*1000000000*((1+M308)/(1-M308))^2+F308*RCoutEsr</f>
        <v>10.429109141055953</v>
      </c>
      <c r="BC308" s="6">
        <f t="shared" si="458"/>
        <v>0.78089658299774733</v>
      </c>
      <c r="BD308" s="470">
        <f>((BY308/I308/Efficiency)*AU308/Cin+(BY308/I308/Efficiency)*RCinEsr)*1000</f>
        <v>0</v>
      </c>
      <c r="CD308" s="577">
        <f t="shared" si="455"/>
        <v>-50</v>
      </c>
      <c r="CE308">
        <f t="shared" si="456"/>
        <v>-50</v>
      </c>
    </row>
    <row r="309" spans="5:83" x14ac:dyDescent="0.2">
      <c r="E309" s="175">
        <v>92</v>
      </c>
      <c r="F309" s="222">
        <f t="shared" si="457"/>
        <v>0.7360000000000001</v>
      </c>
      <c r="G309" s="222"/>
      <c r="H309" s="222">
        <f t="shared" si="428"/>
        <v>8.8320000000000007</v>
      </c>
      <c r="I309" s="556">
        <f t="shared" si="429"/>
        <v>42</v>
      </c>
      <c r="J309" s="452">
        <f t="shared" si="430"/>
        <v>12.25</v>
      </c>
      <c r="K309" s="452">
        <f t="shared" si="431"/>
        <v>54.25</v>
      </c>
      <c r="L309" s="452"/>
      <c r="M309" s="222">
        <f t="shared" si="432"/>
        <v>0.22580645161290322</v>
      </c>
      <c r="N309" s="177">
        <f t="shared" si="433"/>
        <v>18.469838709677418</v>
      </c>
      <c r="O309" s="177">
        <f t="shared" si="425"/>
        <v>8.8320000000000007</v>
      </c>
      <c r="P309" s="222">
        <f t="shared" si="434"/>
        <v>1.5391532258064515</v>
      </c>
      <c r="Q309" s="222">
        <f t="shared" si="435"/>
        <v>12</v>
      </c>
      <c r="R309" s="222"/>
      <c r="S309" s="177">
        <f t="shared" si="436"/>
        <v>69.285512847834582</v>
      </c>
      <c r="T309" s="177">
        <f t="shared" si="437"/>
        <v>12</v>
      </c>
      <c r="U309" s="222">
        <f t="shared" si="438"/>
        <v>1.9605585392051559</v>
      </c>
      <c r="V309" s="222">
        <f t="shared" si="439"/>
        <v>0.32675975653419265</v>
      </c>
      <c r="W309" s="222">
        <f t="shared" si="440"/>
        <v>1.1203191652600892</v>
      </c>
      <c r="X309" s="202">
        <f t="shared" si="441"/>
        <v>350</v>
      </c>
      <c r="Y309" s="452">
        <f t="shared" si="427"/>
        <v>350</v>
      </c>
      <c r="AA309" s="222">
        <f t="shared" si="442"/>
        <v>3.8709677419354835</v>
      </c>
      <c r="AB309" s="178">
        <f t="shared" si="443"/>
        <v>2.2119815668202762</v>
      </c>
      <c r="AC309" s="178">
        <f t="shared" si="444"/>
        <v>1.4984391259105099</v>
      </c>
      <c r="AD309" s="178"/>
      <c r="AE309" s="178">
        <f t="shared" si="445"/>
        <v>0.46857142857142853</v>
      </c>
      <c r="AF309" s="560">
        <f>MAX(12000,F309/(0.5*AE309/1000000*Isw_min*Nps))/1000</f>
        <v>3831.0529446757896</v>
      </c>
      <c r="AG309" s="543">
        <f t="shared" si="446"/>
        <v>6.723999999999998E-2</v>
      </c>
      <c r="AI309" s="178">
        <f t="shared" si="447"/>
        <v>2.7129319932501077</v>
      </c>
      <c r="AJ309" s="178">
        <f t="shared" si="448"/>
        <v>2.7129319932501077</v>
      </c>
      <c r="AK309" s="178">
        <f t="shared" si="449"/>
        <v>2.6021718468519319</v>
      </c>
      <c r="AM309" s="560">
        <f t="shared" si="450"/>
        <v>736.00000000000011</v>
      </c>
      <c r="AN309" s="470">
        <f t="shared" si="451"/>
        <v>350</v>
      </c>
      <c r="AP309">
        <f t="shared" si="452"/>
        <v>736.00000000000011</v>
      </c>
      <c r="AQ309">
        <f t="shared" si="453"/>
        <v>350</v>
      </c>
      <c r="AS309" s="6">
        <f t="shared" si="426"/>
        <v>2.8571428571428572</v>
      </c>
      <c r="AT309" s="6">
        <f t="shared" si="454"/>
        <v>0.45215533220835125</v>
      </c>
      <c r="AU309" s="6">
        <f t="shared" si="459"/>
        <v>2.4049875249345058</v>
      </c>
      <c r="AV309" s="6"/>
      <c r="AW309" s="178">
        <f t="shared" si="460"/>
        <v>0.15825436627292294</v>
      </c>
      <c r="AX309" s="178"/>
      <c r="BA309" s="470">
        <f>L*Isw_max^2/(2*Vout_ripple*Vout)*1000000000*((1+M309)/2)^2</f>
        <v>15.348186929124752</v>
      </c>
      <c r="BB309" s="470">
        <f>L*F309^2/(2*Cout*Vout*Nps^2)*1000000000*((1+M309)/(1-M309))^2+F309*RCoutEsr</f>
        <v>10.635315996847917</v>
      </c>
      <c r="BC309" s="6">
        <f t="shared" si="458"/>
        <v>0.78866981602976172</v>
      </c>
      <c r="BD309" s="470">
        <f>((BY309/I309/Efficiency)*AU309/Cin+(BY309/I309/Efficiency)*RCinEsr)*1000</f>
        <v>0</v>
      </c>
      <c r="CD309" s="577">
        <f t="shared" si="455"/>
        <v>-50</v>
      </c>
      <c r="CE309">
        <f t="shared" si="456"/>
        <v>-50</v>
      </c>
    </row>
    <row r="310" spans="5:83" x14ac:dyDescent="0.2">
      <c r="E310" s="175">
        <v>93</v>
      </c>
      <c r="F310" s="222">
        <f t="shared" si="457"/>
        <v>0.74400000000000011</v>
      </c>
      <c r="G310" s="222"/>
      <c r="H310" s="222">
        <f t="shared" si="428"/>
        <v>8.9280000000000008</v>
      </c>
      <c r="I310" s="556">
        <f t="shared" si="429"/>
        <v>42</v>
      </c>
      <c r="J310" s="452">
        <f t="shared" si="430"/>
        <v>12.25</v>
      </c>
      <c r="K310" s="452">
        <f t="shared" si="431"/>
        <v>54.25</v>
      </c>
      <c r="L310" s="452"/>
      <c r="M310" s="222">
        <f t="shared" si="432"/>
        <v>0.22580645161290322</v>
      </c>
      <c r="N310" s="177">
        <f t="shared" si="433"/>
        <v>18.469838709677418</v>
      </c>
      <c r="O310" s="177">
        <f t="shared" si="425"/>
        <v>8.9280000000000008</v>
      </c>
      <c r="P310" s="222">
        <f t="shared" si="434"/>
        <v>1.5391532258064515</v>
      </c>
      <c r="Q310" s="222">
        <f t="shared" si="435"/>
        <v>12</v>
      </c>
      <c r="R310" s="222"/>
      <c r="S310" s="177">
        <f t="shared" si="436"/>
        <v>68.093152588608575</v>
      </c>
      <c r="T310" s="177">
        <f t="shared" si="437"/>
        <v>12</v>
      </c>
      <c r="U310" s="222">
        <f t="shared" si="438"/>
        <v>1.9818689581095599</v>
      </c>
      <c r="V310" s="222">
        <f t="shared" si="439"/>
        <v>0.33031149301825996</v>
      </c>
      <c r="W310" s="222">
        <f t="shared" si="440"/>
        <v>1.132496547491177</v>
      </c>
      <c r="X310" s="202">
        <f t="shared" si="441"/>
        <v>350</v>
      </c>
      <c r="Y310" s="452">
        <f t="shared" si="427"/>
        <v>350</v>
      </c>
      <c r="AA310" s="222">
        <f t="shared" si="442"/>
        <v>3.8709677419354835</v>
      </c>
      <c r="AB310" s="178">
        <f t="shared" si="443"/>
        <v>2.2119815668202762</v>
      </c>
      <c r="AC310" s="178">
        <f t="shared" si="444"/>
        <v>1.4984391259105099</v>
      </c>
      <c r="AD310" s="178"/>
      <c r="AE310" s="178">
        <f t="shared" si="445"/>
        <v>0.46857142857142853</v>
      </c>
      <c r="AF310" s="560">
        <f>MAX(12000,F310/(0.5*AE310/1000000*Isw_min*Nps))/1000</f>
        <v>3872.6948245092221</v>
      </c>
      <c r="AG310" s="543">
        <f t="shared" si="446"/>
        <v>6.723999999999998E-2</v>
      </c>
      <c r="AI310" s="178">
        <f t="shared" si="447"/>
        <v>2.7276363393971712</v>
      </c>
      <c r="AJ310" s="178">
        <f t="shared" si="448"/>
        <v>2.7276363393971712</v>
      </c>
      <c r="AK310" s="178">
        <f t="shared" si="449"/>
        <v>2.6130639551090158</v>
      </c>
      <c r="AM310" s="560">
        <f t="shared" si="450"/>
        <v>744.00000000000011</v>
      </c>
      <c r="AN310" s="470">
        <f t="shared" si="451"/>
        <v>350</v>
      </c>
      <c r="AP310">
        <f t="shared" si="452"/>
        <v>744.00000000000011</v>
      </c>
      <c r="AQ310">
        <f t="shared" si="453"/>
        <v>350</v>
      </c>
      <c r="AS310" s="6">
        <f t="shared" si="426"/>
        <v>2.8571428571428572</v>
      </c>
      <c r="AT310" s="6">
        <f t="shared" si="454"/>
        <v>0.45460605656619518</v>
      </c>
      <c r="AU310" s="6">
        <f t="shared" si="459"/>
        <v>2.4025368005766619</v>
      </c>
      <c r="AV310" s="6"/>
      <c r="AW310" s="178">
        <f t="shared" si="460"/>
        <v>0.15911211979816831</v>
      </c>
      <c r="AX310" s="178"/>
      <c r="BA310" s="470">
        <f>L*Isw_max^2/(2*Vout_ripple*Vout)*1000000000*((1+M310)/2)^2</f>
        <v>15.348186929124752</v>
      </c>
      <c r="BB310" s="470">
        <f>L*F310^2/(2*Cout*Vout*Nps^2)*1000000000*((1+M310)/(1-M310))^2+F310*RCoutEsr</f>
        <v>10.843514184397169</v>
      </c>
      <c r="BC310" s="6">
        <f t="shared" si="458"/>
        <v>0.79642991016609821</v>
      </c>
      <c r="BD310" s="470">
        <f>((BY310/I310/Efficiency)*AU310/Cin+(BY310/I310/Efficiency)*RCinEsr)*1000</f>
        <v>0</v>
      </c>
      <c r="CD310" s="577">
        <f t="shared" si="455"/>
        <v>-50</v>
      </c>
      <c r="CE310">
        <f t="shared" si="456"/>
        <v>-50</v>
      </c>
    </row>
    <row r="311" spans="5:83" x14ac:dyDescent="0.2">
      <c r="E311" s="175">
        <v>94</v>
      </c>
      <c r="F311" s="222">
        <f t="shared" si="457"/>
        <v>0.752</v>
      </c>
      <c r="G311" s="222"/>
      <c r="H311" s="222">
        <f t="shared" si="428"/>
        <v>9.0240000000000009</v>
      </c>
      <c r="I311" s="556">
        <f t="shared" si="429"/>
        <v>42</v>
      </c>
      <c r="J311" s="452">
        <f t="shared" si="430"/>
        <v>12.25</v>
      </c>
      <c r="K311" s="452">
        <f t="shared" si="431"/>
        <v>54.25</v>
      </c>
      <c r="L311" s="452"/>
      <c r="M311" s="222">
        <f t="shared" si="432"/>
        <v>0.22580645161290322</v>
      </c>
      <c r="N311" s="177">
        <f t="shared" si="433"/>
        <v>18.469838709677418</v>
      </c>
      <c r="O311" s="177">
        <f t="shared" si="425"/>
        <v>9.0240000000000009</v>
      </c>
      <c r="P311" s="222">
        <f t="shared" si="434"/>
        <v>1.5391532258064515</v>
      </c>
      <c r="Q311" s="222">
        <f t="shared" si="435"/>
        <v>12</v>
      </c>
      <c r="R311" s="222"/>
      <c r="S311" s="177">
        <f t="shared" si="436"/>
        <v>66.926252045558968</v>
      </c>
      <c r="T311" s="177">
        <f t="shared" si="437"/>
        <v>12</v>
      </c>
      <c r="U311" s="222">
        <f t="shared" si="438"/>
        <v>2.0031793770139639</v>
      </c>
      <c r="V311" s="222">
        <f t="shared" si="439"/>
        <v>0.33386322950232733</v>
      </c>
      <c r="W311" s="222">
        <f t="shared" si="440"/>
        <v>1.1446739297222652</v>
      </c>
      <c r="X311" s="202">
        <f t="shared" si="441"/>
        <v>350</v>
      </c>
      <c r="Y311" s="452">
        <f t="shared" si="427"/>
        <v>350</v>
      </c>
      <c r="AA311" s="222">
        <f t="shared" si="442"/>
        <v>3.8709677419354835</v>
      </c>
      <c r="AB311" s="178">
        <f t="shared" si="443"/>
        <v>2.2119815668202762</v>
      </c>
      <c r="AC311" s="178">
        <f t="shared" si="444"/>
        <v>1.4984391259105099</v>
      </c>
      <c r="AD311" s="178"/>
      <c r="AE311" s="178">
        <f t="shared" si="445"/>
        <v>0.46857142857142853</v>
      </c>
      <c r="AF311" s="560">
        <f>MAX(12000,F311/(0.5*AE311/1000000*Isw_min*Nps))/1000</f>
        <v>3914.3367043426538</v>
      </c>
      <c r="AG311" s="543">
        <f t="shared" si="446"/>
        <v>6.723999999999998E-2</v>
      </c>
      <c r="AI311" s="178">
        <f t="shared" si="447"/>
        <v>2.7422618401604177</v>
      </c>
      <c r="AJ311" s="178">
        <f t="shared" si="448"/>
        <v>2.7422618401604177</v>
      </c>
      <c r="AK311" s="178">
        <f t="shared" si="449"/>
        <v>2.6238976593780876</v>
      </c>
      <c r="AM311" s="560">
        <f t="shared" si="450"/>
        <v>752</v>
      </c>
      <c r="AN311" s="470">
        <f t="shared" si="451"/>
        <v>350</v>
      </c>
      <c r="AP311">
        <f t="shared" si="452"/>
        <v>752</v>
      </c>
      <c r="AQ311">
        <f t="shared" si="453"/>
        <v>350</v>
      </c>
      <c r="AS311" s="6">
        <f t="shared" si="426"/>
        <v>2.8571428571428572</v>
      </c>
      <c r="AT311" s="6">
        <f t="shared" si="454"/>
        <v>0.45704364002673625</v>
      </c>
      <c r="AU311" s="6">
        <f t="shared" si="459"/>
        <v>2.4000992171161211</v>
      </c>
      <c r="AV311" s="6"/>
      <c r="AW311" s="178">
        <f t="shared" si="460"/>
        <v>0.15996527400935767</v>
      </c>
      <c r="AX311" s="178"/>
      <c r="BA311" s="470">
        <f>L*Isw_max^2/(2*Vout_ripple*Vout)*1000000000*((1+M311)/2)^2</f>
        <v>15.348186929124752</v>
      </c>
      <c r="BB311" s="470">
        <f>L*F311^2/(2*Cout*Vout*Nps^2)*1000000000*((1+M311)/(1-M311))^2+F311*RCoutEsr</f>
        <v>11.053703703703707</v>
      </c>
      <c r="BC311" s="6">
        <f t="shared" si="458"/>
        <v>0.80417693623896325</v>
      </c>
      <c r="BD311" s="470">
        <f>((BY311/I311/Efficiency)*AU311/Cin+(BY311/I311/Efficiency)*RCinEsr)*1000</f>
        <v>0</v>
      </c>
      <c r="CD311" s="577">
        <f t="shared" si="455"/>
        <v>-50</v>
      </c>
      <c r="CE311">
        <f t="shared" si="456"/>
        <v>-50</v>
      </c>
    </row>
    <row r="312" spans="5:83" x14ac:dyDescent="0.2">
      <c r="E312" s="175">
        <v>95</v>
      </c>
      <c r="F312" s="222">
        <f t="shared" si="457"/>
        <v>0.76</v>
      </c>
      <c r="G312" s="222"/>
      <c r="H312" s="222">
        <f t="shared" si="428"/>
        <v>9.120000000000001</v>
      </c>
      <c r="I312" s="556">
        <f t="shared" si="429"/>
        <v>42</v>
      </c>
      <c r="J312" s="452">
        <f t="shared" si="430"/>
        <v>12.25</v>
      </c>
      <c r="K312" s="452">
        <f t="shared" si="431"/>
        <v>54.25</v>
      </c>
      <c r="L312" s="452"/>
      <c r="M312" s="222">
        <f t="shared" si="432"/>
        <v>0.22580645161290322</v>
      </c>
      <c r="N312" s="177">
        <f t="shared" si="433"/>
        <v>18.469838709677418</v>
      </c>
      <c r="O312" s="177">
        <f t="shared" si="425"/>
        <v>9.120000000000001</v>
      </c>
      <c r="P312" s="222">
        <f t="shared" si="434"/>
        <v>1.5391532258064515</v>
      </c>
      <c r="Q312" s="222">
        <f t="shared" si="435"/>
        <v>12</v>
      </c>
      <c r="R312" s="222"/>
      <c r="S312" s="177">
        <f t="shared" si="436"/>
        <v>65.784008973757324</v>
      </c>
      <c r="T312" s="177">
        <f t="shared" si="437"/>
        <v>12</v>
      </c>
      <c r="U312" s="222">
        <f t="shared" si="438"/>
        <v>2.0244897959183676</v>
      </c>
      <c r="V312" s="222">
        <f t="shared" si="439"/>
        <v>0.33741496598639459</v>
      </c>
      <c r="W312" s="222">
        <f t="shared" si="440"/>
        <v>1.156851311953353</v>
      </c>
      <c r="X312" s="202">
        <f t="shared" si="441"/>
        <v>350</v>
      </c>
      <c r="Y312" s="452">
        <f t="shared" si="427"/>
        <v>350</v>
      </c>
      <c r="AA312" s="222">
        <f t="shared" si="442"/>
        <v>3.8709677419354835</v>
      </c>
      <c r="AB312" s="178">
        <f t="shared" si="443"/>
        <v>2.2119815668202762</v>
      </c>
      <c r="AC312" s="178">
        <f t="shared" si="444"/>
        <v>1.4984391259105099</v>
      </c>
      <c r="AD312" s="178"/>
      <c r="AE312" s="178">
        <f t="shared" si="445"/>
        <v>0.46857142857142853</v>
      </c>
      <c r="AF312" s="560">
        <f>MAX(12000,F312/(0.5*AE312/1000000*Isw_min*Nps))/1000</f>
        <v>3955.9785841760863</v>
      </c>
      <c r="AG312" s="543">
        <f t="shared" si="446"/>
        <v>6.723999999999998E-2</v>
      </c>
      <c r="AI312" s="178">
        <f t="shared" si="447"/>
        <v>2.7568097504180447</v>
      </c>
      <c r="AJ312" s="178">
        <f t="shared" si="448"/>
        <v>2.7568097504180447</v>
      </c>
      <c r="AK312" s="178">
        <f t="shared" si="449"/>
        <v>2.6346738891985515</v>
      </c>
      <c r="AM312" s="560">
        <f t="shared" si="450"/>
        <v>760</v>
      </c>
      <c r="AN312" s="470">
        <f t="shared" si="451"/>
        <v>350</v>
      </c>
      <c r="AP312">
        <f t="shared" si="452"/>
        <v>760</v>
      </c>
      <c r="AQ312">
        <f t="shared" si="453"/>
        <v>350</v>
      </c>
      <c r="AS312" s="6">
        <f t="shared" si="426"/>
        <v>2.8571428571428572</v>
      </c>
      <c r="AT312" s="6">
        <f t="shared" si="454"/>
        <v>0.45946829173634079</v>
      </c>
      <c r="AU312" s="6">
        <f t="shared" si="459"/>
        <v>2.3976745654065166</v>
      </c>
      <c r="AV312" s="6"/>
      <c r="AW312" s="178">
        <f t="shared" si="460"/>
        <v>0.16081390210771929</v>
      </c>
      <c r="AX312" s="178"/>
      <c r="BA312" s="470">
        <f>L*Isw_max^2/(2*Vout_ripple*Vout)*1000000000*((1+M312)/2)^2</f>
        <v>15.348186929124752</v>
      </c>
      <c r="BB312" s="470">
        <f>L*F312^2/(2*Cout*Vout*Nps^2)*1000000000*((1+M312)/(1-M312))^2+F312*RCoutEsr</f>
        <v>11.265884554767535</v>
      </c>
      <c r="BC312" s="6">
        <f t="shared" si="458"/>
        <v>0.81191096394718021</v>
      </c>
      <c r="BD312" s="470">
        <f>((BY312/I312/Efficiency)*AU312/Cin+(BY312/I312/Efficiency)*RCinEsr)*1000</f>
        <v>0</v>
      </c>
      <c r="CD312" s="577">
        <f t="shared" si="455"/>
        <v>-50</v>
      </c>
      <c r="CE312">
        <f t="shared" si="456"/>
        <v>-50</v>
      </c>
    </row>
    <row r="313" spans="5:83" x14ac:dyDescent="0.2">
      <c r="E313" s="175">
        <v>96</v>
      </c>
      <c r="F313" s="222">
        <f t="shared" si="457"/>
        <v>0.76800000000000002</v>
      </c>
      <c r="G313" s="222"/>
      <c r="H313" s="222">
        <f t="shared" ref="H313:H317" si="461">F313*Vout</f>
        <v>9.2160000000000011</v>
      </c>
      <c r="I313" s="556">
        <f t="shared" si="429"/>
        <v>42</v>
      </c>
      <c r="J313" s="452">
        <f t="shared" si="430"/>
        <v>12.25</v>
      </c>
      <c r="K313" s="452">
        <f t="shared" si="431"/>
        <v>54.25</v>
      </c>
      <c r="L313" s="452"/>
      <c r="M313" s="222">
        <f t="shared" si="432"/>
        <v>0.22580645161290322</v>
      </c>
      <c r="N313" s="177">
        <f t="shared" ref="N313:N317" si="462">M313*I313*Isw_max*0.5*Efficiency</f>
        <v>18.469838709677418</v>
      </c>
      <c r="O313" s="177">
        <f t="shared" si="425"/>
        <v>9.2160000000000011</v>
      </c>
      <c r="P313" s="222">
        <f t="shared" ref="P313:P317" si="463">N313/Vout</f>
        <v>1.5391532258064515</v>
      </c>
      <c r="Q313" s="222">
        <f t="shared" si="435"/>
        <v>12</v>
      </c>
      <c r="R313" s="222"/>
      <c r="S313" s="177">
        <f t="shared" si="436"/>
        <v>64.665654599681588</v>
      </c>
      <c r="T313" s="177">
        <f t="shared" ref="T313:T317" si="464">MIN(Vout, S313)</f>
        <v>12</v>
      </c>
      <c r="U313" s="222">
        <f t="shared" si="438"/>
        <v>2.0458002148227714</v>
      </c>
      <c r="V313" s="222">
        <f t="shared" ref="V313:V317" si="465">L*U313/I313*1000000</f>
        <v>0.3409667024704619</v>
      </c>
      <c r="W313" s="222">
        <f t="shared" si="440"/>
        <v>1.1690286941844408</v>
      </c>
      <c r="X313" s="202">
        <f t="shared" si="441"/>
        <v>350</v>
      </c>
      <c r="Y313" s="452">
        <f t="shared" si="427"/>
        <v>350</v>
      </c>
      <c r="AA313" s="222">
        <f t="shared" si="442"/>
        <v>3.8709677419354835</v>
      </c>
      <c r="AB313" s="178">
        <f t="shared" ref="AB313:AB317" si="466">L*AA313/J313*1000000</f>
        <v>2.2119815668202762</v>
      </c>
      <c r="AC313" s="178">
        <f t="shared" ref="AC313:AC317" si="467">0.5*AB313*AA313*Nps*X313/1000</f>
        <v>1.4984391259105099</v>
      </c>
      <c r="AD313" s="178"/>
      <c r="AE313" s="178">
        <f t="shared" si="445"/>
        <v>0.46857142857142853</v>
      </c>
      <c r="AF313" s="560">
        <f>MAX(12000,F313/(0.5*AE313/1000000*Isw_min*Nps))/1000</f>
        <v>3997.6204640095193</v>
      </c>
      <c r="AG313" s="543">
        <f t="shared" si="446"/>
        <v>6.723999999999998E-2</v>
      </c>
      <c r="AI313" s="178">
        <f t="shared" si="447"/>
        <v>2.7712812921102037</v>
      </c>
      <c r="AJ313" s="178">
        <f t="shared" ref="AJ313:AJ317" si="468">MAX(IF(F313&gt;AC313,U313,AI313),Isw_min)</f>
        <v>2.7712812921102037</v>
      </c>
      <c r="AK313" s="178">
        <f t="shared" ref="AK313:AK317" si="469">IF(F313&gt;AG313, (AJ313-Isw_min)/1.08*0.8+1.2, AF313*0.2/350+1)</f>
        <v>2.6453935497112622</v>
      </c>
      <c r="AM313" s="560">
        <f t="shared" si="450"/>
        <v>768</v>
      </c>
      <c r="AN313" s="470">
        <f t="shared" si="451"/>
        <v>350</v>
      </c>
      <c r="AP313">
        <f t="shared" si="452"/>
        <v>768</v>
      </c>
      <c r="AQ313">
        <f t="shared" si="453"/>
        <v>350</v>
      </c>
      <c r="AS313" s="6">
        <f t="shared" si="426"/>
        <v>2.8571428571428572</v>
      </c>
      <c r="AT313" s="6">
        <f t="shared" si="454"/>
        <v>0.46188021535170054</v>
      </c>
      <c r="AU313" s="6">
        <f t="shared" si="459"/>
        <v>2.3952626417911569</v>
      </c>
      <c r="AV313" s="6"/>
      <c r="AW313" s="178">
        <f t="shared" si="460"/>
        <v>0.16165807537309518</v>
      </c>
      <c r="AX313" s="178"/>
      <c r="BA313" s="470">
        <f>L*Isw_max^2/(2*Vout_ripple*Vout)*1000000000*((1+M313)/2)^2</f>
        <v>15.348186929124752</v>
      </c>
      <c r="BB313" s="470">
        <f>L*F313^2/(2*Cout*Vout*Nps^2)*1000000000*((1+M313)/(1-M313))^2+F313*RCoutEsr</f>
        <v>11.480056737588656</v>
      </c>
      <c r="BC313" s="6">
        <f t="shared" si="458"/>
        <v>0.81963206188609694</v>
      </c>
      <c r="BD313" s="470">
        <f>((BY313/I313/Efficiency)*AU313/Cin+(BY313/I313/Efficiency)*RCinEsr)*1000</f>
        <v>0</v>
      </c>
      <c r="CD313" s="577">
        <f t="shared" si="455"/>
        <v>-50</v>
      </c>
      <c r="CE313">
        <f t="shared" si="456"/>
        <v>-50</v>
      </c>
    </row>
    <row r="314" spans="5:83" x14ac:dyDescent="0.2">
      <c r="E314" s="175">
        <v>97</v>
      </c>
      <c r="F314" s="222">
        <f t="shared" ref="F314:F317" si="470">IF(PLOT_TYPE=1, E314/100*Iout_max, min_I*EXP(N314*rr/100))</f>
        <v>0.77600000000000002</v>
      </c>
      <c r="G314" s="222"/>
      <c r="H314" s="222">
        <f t="shared" si="461"/>
        <v>9.3120000000000012</v>
      </c>
      <c r="I314" s="556">
        <f t="shared" si="429"/>
        <v>42</v>
      </c>
      <c r="J314" s="452">
        <f t="shared" si="430"/>
        <v>12.25</v>
      </c>
      <c r="K314" s="452">
        <f t="shared" si="431"/>
        <v>54.25</v>
      </c>
      <c r="L314" s="452"/>
      <c r="M314" s="222">
        <f t="shared" si="432"/>
        <v>0.22580645161290322</v>
      </c>
      <c r="N314" s="177">
        <f t="shared" si="462"/>
        <v>18.469838709677418</v>
      </c>
      <c r="O314" s="177">
        <f t="shared" si="425"/>
        <v>9.3120000000000012</v>
      </c>
      <c r="P314" s="222">
        <f t="shared" si="463"/>
        <v>1.5391532258064515</v>
      </c>
      <c r="Q314" s="222">
        <f t="shared" si="435"/>
        <v>12</v>
      </c>
      <c r="R314" s="222"/>
      <c r="S314" s="177">
        <f t="shared" si="436"/>
        <v>63.570451897289416</v>
      </c>
      <c r="T314" s="177">
        <f t="shared" si="464"/>
        <v>12</v>
      </c>
      <c r="U314" s="222">
        <f t="shared" si="438"/>
        <v>2.0671106337271752</v>
      </c>
      <c r="V314" s="222">
        <f t="shared" si="465"/>
        <v>0.34451843895452916</v>
      </c>
      <c r="W314" s="222">
        <f t="shared" si="440"/>
        <v>1.1812060764155285</v>
      </c>
      <c r="X314" s="202">
        <f t="shared" si="441"/>
        <v>350</v>
      </c>
      <c r="Y314" s="452">
        <f t="shared" si="427"/>
        <v>350</v>
      </c>
      <c r="AA314" s="222">
        <f t="shared" si="442"/>
        <v>3.8709677419354835</v>
      </c>
      <c r="AB314" s="178">
        <f t="shared" si="466"/>
        <v>2.2119815668202762</v>
      </c>
      <c r="AC314" s="178">
        <f t="shared" si="467"/>
        <v>1.4984391259105099</v>
      </c>
      <c r="AD314" s="178"/>
      <c r="AE314" s="178">
        <f t="shared" si="445"/>
        <v>0.46857142857142853</v>
      </c>
      <c r="AF314" s="560">
        <f>MAX(12000,F314/(0.5*AE314/1000000*Isw_min*Nps))/1000</f>
        <v>4039.2623438429514</v>
      </c>
      <c r="AG314" s="543">
        <f t="shared" si="446"/>
        <v>6.723999999999998E-2</v>
      </c>
      <c r="AI314" s="178">
        <f t="shared" si="447"/>
        <v>2.7856776554368241</v>
      </c>
      <c r="AJ314" s="178">
        <f t="shared" si="468"/>
        <v>2.7856776554368241</v>
      </c>
      <c r="AK314" s="178">
        <f t="shared" si="469"/>
        <v>2.6560575225457956</v>
      </c>
      <c r="AM314" s="560">
        <f t="shared" si="450"/>
        <v>776</v>
      </c>
      <c r="AN314" s="470">
        <f t="shared" si="451"/>
        <v>350</v>
      </c>
      <c r="AP314">
        <f t="shared" si="452"/>
        <v>776</v>
      </c>
      <c r="AQ314">
        <f t="shared" si="453"/>
        <v>350</v>
      </c>
      <c r="AS314" s="6">
        <f t="shared" si="426"/>
        <v>2.8571428571428572</v>
      </c>
      <c r="AT314" s="6">
        <f t="shared" si="454"/>
        <v>0.46427960923947065</v>
      </c>
      <c r="AU314" s="6">
        <f t="shared" si="459"/>
        <v>2.3928632479033864</v>
      </c>
      <c r="AV314" s="6"/>
      <c r="AW314" s="178">
        <f t="shared" si="460"/>
        <v>0.16249786323381471</v>
      </c>
      <c r="AX314" s="178"/>
      <c r="BA314" s="470">
        <f>L*Isw_max^2/(2*Vout_ripple*Vout)*1000000000*((1+M314)/2)^2</f>
        <v>15.348186929124752</v>
      </c>
      <c r="BB314" s="470">
        <f>L*F314^2/(2*Cout*Vout*Nps^2)*1000000000*((1+M314)/(1-M314))^2+F314*RCoutEsr</f>
        <v>11.696220252167063</v>
      </c>
      <c r="BC314" s="6">
        <f t="shared" si="458"/>
        <v>0.82734029757639793</v>
      </c>
      <c r="BD314" s="470">
        <f>((BY314/I314/Efficiency)*AU314/Cin+(BY314/I314/Efficiency)*RCinEsr)*1000</f>
        <v>0</v>
      </c>
      <c r="CD314" s="577">
        <f t="shared" si="455"/>
        <v>-50</v>
      </c>
      <c r="CE314">
        <f t="shared" si="456"/>
        <v>-50</v>
      </c>
    </row>
    <row r="315" spans="5:83" x14ac:dyDescent="0.2">
      <c r="E315" s="175">
        <v>98</v>
      </c>
      <c r="F315" s="222">
        <f t="shared" si="470"/>
        <v>0.78400000000000003</v>
      </c>
      <c r="G315" s="222"/>
      <c r="H315" s="222">
        <f t="shared" si="461"/>
        <v>9.4080000000000013</v>
      </c>
      <c r="I315" s="556">
        <f t="shared" si="429"/>
        <v>42</v>
      </c>
      <c r="J315" s="452">
        <f t="shared" si="430"/>
        <v>12.25</v>
      </c>
      <c r="K315" s="452">
        <f t="shared" si="431"/>
        <v>54.25</v>
      </c>
      <c r="L315" s="452"/>
      <c r="M315" s="222">
        <f t="shared" si="432"/>
        <v>0.22580645161290322</v>
      </c>
      <c r="N315" s="177">
        <f t="shared" si="462"/>
        <v>18.469838709677418</v>
      </c>
      <c r="O315" s="177">
        <f t="shared" si="425"/>
        <v>9.4080000000000013</v>
      </c>
      <c r="P315" s="222">
        <f t="shared" si="463"/>
        <v>1.5391532258064515</v>
      </c>
      <c r="Q315" s="222">
        <f t="shared" si="435"/>
        <v>12</v>
      </c>
      <c r="R315" s="222"/>
      <c r="S315" s="177">
        <f t="shared" si="436"/>
        <v>62.497693969690502</v>
      </c>
      <c r="T315" s="177">
        <f t="shared" si="464"/>
        <v>12</v>
      </c>
      <c r="U315" s="222">
        <f t="shared" si="438"/>
        <v>2.0884210526315794</v>
      </c>
      <c r="V315" s="222">
        <f t="shared" si="465"/>
        <v>0.34807017543859653</v>
      </c>
      <c r="W315" s="222">
        <f t="shared" si="440"/>
        <v>1.1933834586466168</v>
      </c>
      <c r="X315" s="202">
        <f t="shared" si="441"/>
        <v>350</v>
      </c>
      <c r="Y315" s="452">
        <f t="shared" si="427"/>
        <v>350</v>
      </c>
      <c r="AA315" s="222">
        <f t="shared" si="442"/>
        <v>3.8709677419354835</v>
      </c>
      <c r="AB315" s="178">
        <f t="shared" si="466"/>
        <v>2.2119815668202762</v>
      </c>
      <c r="AC315" s="178">
        <f t="shared" si="467"/>
        <v>1.4984391259105099</v>
      </c>
      <c r="AD315" s="178"/>
      <c r="AE315" s="178">
        <f t="shared" si="445"/>
        <v>0.46857142857142853</v>
      </c>
      <c r="AF315" s="560">
        <f>MAX(12000,F315/(0.5*AE315/1000000*Isw_min*Nps))/1000</f>
        <v>4080.9042236763839</v>
      </c>
      <c r="AG315" s="543">
        <f t="shared" si="446"/>
        <v>6.723999999999998E-2</v>
      </c>
      <c r="AI315" s="178">
        <f t="shared" si="447"/>
        <v>2.8000000000000003</v>
      </c>
      <c r="AJ315" s="178">
        <f t="shared" si="468"/>
        <v>2.8000000000000003</v>
      </c>
      <c r="AK315" s="178">
        <f t="shared" si="469"/>
        <v>2.666666666666667</v>
      </c>
      <c r="AM315" s="560">
        <f t="shared" si="450"/>
        <v>784</v>
      </c>
      <c r="AN315" s="470">
        <f t="shared" si="451"/>
        <v>350</v>
      </c>
      <c r="AP315">
        <f t="shared" si="452"/>
        <v>784</v>
      </c>
      <c r="AQ315">
        <f t="shared" si="453"/>
        <v>350</v>
      </c>
      <c r="AS315" s="6">
        <f t="shared" si="426"/>
        <v>2.8571428571428572</v>
      </c>
      <c r="AT315" s="6">
        <f t="shared" si="454"/>
        <v>0.46666666666666673</v>
      </c>
      <c r="AU315" s="6">
        <f t="shared" si="459"/>
        <v>2.3904761904761904</v>
      </c>
      <c r="AV315" s="6"/>
      <c r="AW315" s="178">
        <f t="shared" si="460"/>
        <v>0.16333333333333336</v>
      </c>
      <c r="AX315" s="178"/>
      <c r="BA315" s="470">
        <f>L*Isw_max^2/(2*Vout_ripple*Vout)*1000000000*((1+M315)/2)^2</f>
        <v>15.348186929124752</v>
      </c>
      <c r="BB315" s="470">
        <f>L*F315^2/(2*Cout*Vout*Nps^2)*1000000000*((1+M315)/(1-M315))^2+F315*RCoutEsr</f>
        <v>11.914375098502763</v>
      </c>
      <c r="BC315" s="6">
        <f t="shared" si="458"/>
        <v>0.83503573749187787</v>
      </c>
      <c r="BD315" s="470">
        <f>((BY315/I315/Efficiency)*AU315/Cin+(BY315/I315/Efficiency)*RCinEsr)*1000</f>
        <v>0</v>
      </c>
      <c r="CD315" s="577">
        <f t="shared" si="455"/>
        <v>-50</v>
      </c>
      <c r="CE315">
        <f t="shared" si="456"/>
        <v>-50</v>
      </c>
    </row>
    <row r="316" spans="5:83" x14ac:dyDescent="0.2">
      <c r="E316" s="175">
        <v>99</v>
      </c>
      <c r="F316" s="222">
        <f t="shared" si="470"/>
        <v>0.79200000000000004</v>
      </c>
      <c r="G316" s="222"/>
      <c r="H316" s="222">
        <f t="shared" si="461"/>
        <v>9.5040000000000013</v>
      </c>
      <c r="I316" s="556">
        <f t="shared" si="429"/>
        <v>42</v>
      </c>
      <c r="J316" s="452">
        <f t="shared" si="430"/>
        <v>12.25</v>
      </c>
      <c r="K316" s="452">
        <f t="shared" si="431"/>
        <v>54.25</v>
      </c>
      <c r="L316" s="452"/>
      <c r="M316" s="222">
        <f t="shared" si="432"/>
        <v>0.22580645161290322</v>
      </c>
      <c r="N316" s="177">
        <f t="shared" si="462"/>
        <v>18.469838709677418</v>
      </c>
      <c r="O316" s="177">
        <f t="shared" si="425"/>
        <v>9.5040000000000013</v>
      </c>
      <c r="P316" s="222">
        <f t="shared" si="463"/>
        <v>1.5391532258064515</v>
      </c>
      <c r="Q316" s="222">
        <f t="shared" si="435"/>
        <v>12</v>
      </c>
      <c r="R316" s="222"/>
      <c r="S316" s="177">
        <f t="shared" si="436"/>
        <v>61.44670252895353</v>
      </c>
      <c r="T316" s="177">
        <f t="shared" si="464"/>
        <v>12</v>
      </c>
      <c r="U316" s="222">
        <f t="shared" si="438"/>
        <v>2.1097314715359832</v>
      </c>
      <c r="V316" s="222">
        <f t="shared" si="465"/>
        <v>0.35162191192266384</v>
      </c>
      <c r="W316" s="222">
        <f t="shared" si="440"/>
        <v>1.2055608408777045</v>
      </c>
      <c r="X316" s="202">
        <f t="shared" si="441"/>
        <v>350</v>
      </c>
      <c r="Y316" s="452">
        <f t="shared" si="427"/>
        <v>350</v>
      </c>
      <c r="AA316" s="222">
        <f t="shared" si="442"/>
        <v>3.8709677419354835</v>
      </c>
      <c r="AB316" s="178">
        <f t="shared" si="466"/>
        <v>2.2119815668202762</v>
      </c>
      <c r="AC316" s="178">
        <f t="shared" si="467"/>
        <v>1.4984391259105099</v>
      </c>
      <c r="AD316" s="178"/>
      <c r="AE316" s="178">
        <f t="shared" si="445"/>
        <v>0.46857142857142853</v>
      </c>
      <c r="AF316" s="560">
        <f>MAX(12000,F316/(0.5*AE316/1000000*Isw_min*Nps))/1000</f>
        <v>4122.5461035098169</v>
      </c>
      <c r="AG316" s="543">
        <f t="shared" si="446"/>
        <v>6.723999999999998E-2</v>
      </c>
      <c r="AI316" s="178">
        <f t="shared" si="447"/>
        <v>2.8142494558940578</v>
      </c>
      <c r="AJ316" s="178">
        <f t="shared" si="468"/>
        <v>2.8142494558940578</v>
      </c>
      <c r="AK316" s="178">
        <f t="shared" si="469"/>
        <v>2.6772218191807839</v>
      </c>
      <c r="AM316" s="560">
        <f t="shared" si="450"/>
        <v>792</v>
      </c>
      <c r="AN316" s="470">
        <f t="shared" si="451"/>
        <v>350</v>
      </c>
      <c r="AP316">
        <f t="shared" si="452"/>
        <v>792</v>
      </c>
      <c r="AQ316">
        <f t="shared" si="453"/>
        <v>350</v>
      </c>
      <c r="AS316" s="6">
        <f t="shared" si="426"/>
        <v>2.8571428571428572</v>
      </c>
      <c r="AT316" s="6">
        <f t="shared" si="454"/>
        <v>0.46904157598234297</v>
      </c>
      <c r="AU316" s="6">
        <f t="shared" si="459"/>
        <v>2.3881012811605142</v>
      </c>
      <c r="AV316" s="6"/>
      <c r="AW316" s="178">
        <f t="shared" si="460"/>
        <v>0.16416455159382004</v>
      </c>
      <c r="AX316" s="178"/>
      <c r="BA316" s="470">
        <f>L*Isw_max^2/(2*Vout_ripple*Vout)*1000000000*((1+M316)/2)^2</f>
        <v>15.348186929124752</v>
      </c>
      <c r="BB316" s="470">
        <f>L*F316^2/(2*Cout*Vout*Nps^2)*1000000000*((1+M316)/(1-M316))^2+F316*RCoutEsr</f>
        <v>12.134521276595748</v>
      </c>
      <c r="BC316" s="6">
        <f t="shared" si="458"/>
        <v>0.84271844708621668</v>
      </c>
      <c r="BD316" s="470">
        <f>((BY316/I316/Efficiency)*AU316/Cin+(BY316/I316/Efficiency)*RCinEsr)*1000</f>
        <v>0</v>
      </c>
      <c r="CD316" s="577">
        <f t="shared" si="455"/>
        <v>-50</v>
      </c>
      <c r="CE316">
        <f t="shared" si="456"/>
        <v>-50</v>
      </c>
    </row>
    <row r="317" spans="5:83" x14ac:dyDescent="0.2">
      <c r="E317" s="175">
        <v>100</v>
      </c>
      <c r="F317" s="222">
        <f t="shared" si="470"/>
        <v>0.8</v>
      </c>
      <c r="G317" s="222"/>
      <c r="H317" s="222">
        <f t="shared" si="461"/>
        <v>9.6000000000000014</v>
      </c>
      <c r="I317" s="556">
        <f t="shared" si="429"/>
        <v>42</v>
      </c>
      <c r="J317" s="452">
        <f t="shared" si="430"/>
        <v>12.25</v>
      </c>
      <c r="K317" s="452">
        <f t="shared" si="431"/>
        <v>54.25</v>
      </c>
      <c r="L317" s="452"/>
      <c r="M317" s="222">
        <f t="shared" si="432"/>
        <v>0.22580645161290322</v>
      </c>
      <c r="N317" s="177">
        <f t="shared" si="462"/>
        <v>18.469838709677418</v>
      </c>
      <c r="O317" s="177">
        <f t="shared" si="425"/>
        <v>9.6000000000000014</v>
      </c>
      <c r="P317" s="222">
        <f t="shared" si="463"/>
        <v>1.5391532258064515</v>
      </c>
      <c r="Q317" s="222">
        <f t="shared" si="435"/>
        <v>12</v>
      </c>
      <c r="R317" s="222"/>
      <c r="S317" s="177">
        <f t="shared" si="436"/>
        <v>60.416826467180613</v>
      </c>
      <c r="T317" s="177">
        <f t="shared" si="464"/>
        <v>12</v>
      </c>
      <c r="U317" s="222">
        <f t="shared" si="438"/>
        <v>2.1310418904403869</v>
      </c>
      <c r="V317" s="222">
        <f t="shared" si="465"/>
        <v>0.35517364840673116</v>
      </c>
      <c r="W317" s="222">
        <f t="shared" si="440"/>
        <v>1.2177382231087925</v>
      </c>
      <c r="X317" s="202">
        <f t="shared" si="441"/>
        <v>350</v>
      </c>
      <c r="Y317" s="452">
        <f t="shared" si="427"/>
        <v>350</v>
      </c>
      <c r="AA317" s="222">
        <f t="shared" si="442"/>
        <v>3.8709677419354835</v>
      </c>
      <c r="AB317" s="178">
        <f t="shared" si="466"/>
        <v>2.2119815668202762</v>
      </c>
      <c r="AC317" s="178">
        <f t="shared" si="467"/>
        <v>1.4984391259105099</v>
      </c>
      <c r="AD317" s="178"/>
      <c r="AE317" s="178">
        <f t="shared" si="445"/>
        <v>0.46857142857142853</v>
      </c>
      <c r="AF317" s="560">
        <f>MAX(12000,F317/(0.5*AE317/1000000*Isw_min*Nps))/1000</f>
        <v>4164.1879833432495</v>
      </c>
      <c r="AG317" s="543">
        <f t="shared" si="446"/>
        <v>6.723999999999998E-2</v>
      </c>
      <c r="AI317" s="178">
        <f t="shared" si="447"/>
        <v>2.8284271247461903</v>
      </c>
      <c r="AJ317" s="178">
        <f t="shared" si="468"/>
        <v>2.8284271247461903</v>
      </c>
      <c r="AK317" s="178">
        <f t="shared" si="469"/>
        <v>2.6877237961082892</v>
      </c>
      <c r="AM317" s="560">
        <f t="shared" si="450"/>
        <v>800</v>
      </c>
      <c r="AN317" s="470">
        <f t="shared" si="451"/>
        <v>350</v>
      </c>
      <c r="AP317">
        <f t="shared" si="452"/>
        <v>800</v>
      </c>
      <c r="AQ317">
        <f t="shared" si="453"/>
        <v>350</v>
      </c>
      <c r="AS317" s="6">
        <f t="shared" si="426"/>
        <v>2.8571428571428572</v>
      </c>
      <c r="AT317" s="6">
        <f t="shared" si="454"/>
        <v>0.47140452079103173</v>
      </c>
      <c r="AU317" s="6">
        <f t="shared" si="459"/>
        <v>2.3857383363518254</v>
      </c>
      <c r="AV317" s="6"/>
      <c r="AW317" s="178">
        <f t="shared" si="460"/>
        <v>0.16499158227686112</v>
      </c>
      <c r="AX317" s="178"/>
      <c r="BA317" s="470">
        <f>L*Isw_max^2/(2*Vout_ripple*Vout)*1000000000*((1+M317)/2)^2</f>
        <v>15.348186929124752</v>
      </c>
      <c r="BB317" s="470">
        <f>L*F317^2/(2*Cout*Vout*Nps^2)*1000000000*((1+M317)/(1-M317))^2+F317*RCoutEsr</f>
        <v>12.356658786446026</v>
      </c>
      <c r="BC317" s="6">
        <f t="shared" si="458"/>
        <v>0.8503884908188073</v>
      </c>
      <c r="BD317" s="470">
        <f>((BY317/I317/Efficiency)*AU317/Cin+(BY317/I317/Efficiency)*RCinEsr)*1000</f>
        <v>0</v>
      </c>
      <c r="CD317" s="577">
        <f t="shared" si="455"/>
        <v>-50</v>
      </c>
      <c r="CE317">
        <f t="shared" si="456"/>
        <v>-50</v>
      </c>
    </row>
    <row r="318" spans="5:83" x14ac:dyDescent="0.2">
      <c r="E318" s="175"/>
      <c r="F318" s="222"/>
      <c r="G318" s="222"/>
      <c r="CD318" s="577"/>
    </row>
    <row r="319" spans="5:83" x14ac:dyDescent="0.2">
      <c r="CD319" s="577"/>
    </row>
    <row r="320" spans="5:83" x14ac:dyDescent="0.2">
      <c r="CD320" s="577"/>
    </row>
    <row r="321" spans="82:82" x14ac:dyDescent="0.2">
      <c r="CD321" s="577"/>
    </row>
    <row r="322" spans="82:82" x14ac:dyDescent="0.2">
      <c r="CD322" s="577"/>
    </row>
  </sheetData>
  <mergeCells count="2">
    <mergeCell ref="M3:AA3"/>
    <mergeCell ref="BA2:BB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sheetPr>
  <dimension ref="B1:CF319"/>
  <sheetViews>
    <sheetView topLeftCell="M64" zoomScaleNormal="100" workbookViewId="0">
      <selection activeCell="AY105" sqref="AY105"/>
    </sheetView>
  </sheetViews>
  <sheetFormatPr defaultRowHeight="12.75" x14ac:dyDescent="0.2"/>
  <cols>
    <col min="1" max="1" width="2.85546875" customWidth="1"/>
    <col min="2" max="2" width="3.5703125" customWidth="1"/>
    <col min="3" max="3" width="2.85546875" customWidth="1"/>
    <col min="4" max="4" width="3.7109375" customWidth="1"/>
    <col min="5" max="5" width="6.140625" customWidth="1"/>
    <col min="6" max="7" width="7.7109375" customWidth="1"/>
    <col min="8" max="9" width="7.85546875" customWidth="1"/>
    <col min="10" max="10" width="6.28515625" customWidth="1"/>
    <col min="11" max="11" width="9.5703125" customWidth="1"/>
    <col min="12" max="12" width="9.28515625" customWidth="1"/>
    <col min="13" max="13" width="1.85546875" customWidth="1"/>
    <col min="14" max="14" width="8.42578125" customWidth="1"/>
    <col min="15" max="16" width="9.5703125" customWidth="1"/>
    <col min="17" max="18" width="8.85546875" customWidth="1"/>
    <col min="19" max="19" width="8.5703125" customWidth="1"/>
    <col min="20" max="20" width="7.5703125" customWidth="1"/>
    <col min="21" max="21" width="9" customWidth="1"/>
    <col min="22" max="22" width="8.85546875" customWidth="1"/>
    <col min="23" max="23" width="10" customWidth="1"/>
    <col min="24" max="24" width="9.5703125" customWidth="1"/>
    <col min="25" max="25" width="1.85546875" customWidth="1"/>
    <col min="26" max="26" width="9.85546875" customWidth="1"/>
    <col min="27" max="27" width="10.42578125" customWidth="1"/>
    <col min="28" max="28" width="10.140625" customWidth="1"/>
    <col min="29" max="29" width="2" customWidth="1"/>
    <col min="30" max="30" width="9.140625" customWidth="1"/>
    <col min="31" max="31" width="9.42578125" customWidth="1"/>
    <col min="32" max="32" width="10.42578125" customWidth="1"/>
    <col min="33" max="33" width="2.140625" customWidth="1"/>
    <col min="35" max="35" width="8" customWidth="1"/>
    <col min="37" max="37" width="2.28515625" customWidth="1"/>
    <col min="38" max="38" width="6.5703125" customWidth="1"/>
    <col min="39" max="39" width="7.5703125" customWidth="1"/>
    <col min="40" max="40" width="2" customWidth="1"/>
    <col min="41" max="41" width="6.42578125" customWidth="1"/>
    <col min="42" max="42" width="7.5703125" customWidth="1"/>
    <col min="43" max="43" width="2.140625" customWidth="1"/>
    <col min="44" max="46" width="7" customWidth="1"/>
    <col min="47" max="47" width="8.42578125" customWidth="1"/>
    <col min="48" max="48" width="2.140625" customWidth="1"/>
    <col min="49" max="49" width="9.42578125" customWidth="1"/>
    <col min="50" max="50" width="11.5703125" bestFit="1" customWidth="1"/>
    <col min="51" max="51" width="9.42578125" customWidth="1"/>
    <col min="52" max="52" width="11.5703125" bestFit="1" customWidth="1"/>
    <col min="53" max="53" width="10.28515625" customWidth="1"/>
    <col min="54" max="54" width="11.28515625" customWidth="1"/>
    <col min="55" max="55" width="2" customWidth="1"/>
    <col min="59" max="59" width="2.140625" customWidth="1"/>
    <col min="60" max="60" width="9" customWidth="1"/>
    <col min="61" max="62" width="8.140625" customWidth="1"/>
    <col min="63" max="63" width="8.7109375" customWidth="1"/>
    <col min="64" max="65" width="7.5703125" customWidth="1"/>
    <col min="66" max="67" width="10.28515625" customWidth="1"/>
    <col min="68" max="68" width="9.42578125" customWidth="1"/>
    <col min="69" max="69" width="9.5703125" customWidth="1"/>
    <col min="70" max="70" width="10" customWidth="1"/>
    <col min="71" max="71" width="8.7109375" customWidth="1"/>
    <col min="74" max="74" width="9.85546875" customWidth="1"/>
    <col min="75" max="75" width="12.140625" customWidth="1"/>
    <col min="76" max="76" width="9.140625" customWidth="1"/>
    <col min="78" max="78" width="7.7109375" customWidth="1"/>
    <col min="79" max="79" width="10.42578125" customWidth="1"/>
    <col min="80" max="80" width="12.42578125" bestFit="1" customWidth="1"/>
    <col min="81" max="81" width="6.5703125" customWidth="1"/>
    <col min="82" max="82" width="5" customWidth="1"/>
    <col min="83" max="83" width="9.5703125" customWidth="1"/>
  </cols>
  <sheetData>
    <row r="1" spans="2:84" x14ac:dyDescent="0.2">
      <c r="B1" s="454" t="s">
        <v>528</v>
      </c>
    </row>
    <row r="2" spans="2:84" ht="13.5" thickBot="1" x14ac:dyDescent="0.25"/>
    <row r="3" spans="2:84" x14ac:dyDescent="0.2">
      <c r="E3" s="225" t="s">
        <v>432</v>
      </c>
      <c r="F3" s="555"/>
      <c r="G3" s="555"/>
      <c r="H3" s="555"/>
      <c r="I3" s="555"/>
      <c r="J3" s="226"/>
      <c r="K3" s="227"/>
      <c r="L3" s="539"/>
      <c r="M3" s="539"/>
      <c r="N3" s="691" t="s">
        <v>190</v>
      </c>
      <c r="O3" s="692"/>
      <c r="P3" s="693"/>
      <c r="Q3" s="691"/>
      <c r="R3" s="693"/>
      <c r="S3" s="691"/>
      <c r="T3" s="691"/>
      <c r="U3" s="692"/>
      <c r="V3" s="692"/>
      <c r="W3" s="691"/>
      <c r="X3" s="692"/>
      <c r="Y3" s="691"/>
      <c r="Z3" s="694"/>
      <c r="AA3" s="548"/>
      <c r="AB3" s="548"/>
      <c r="AC3" s="548"/>
      <c r="AD3" s="548"/>
      <c r="AE3" s="548"/>
      <c r="AF3" s="548"/>
      <c r="AG3" s="548"/>
      <c r="AH3" s="548"/>
      <c r="AI3" s="548"/>
      <c r="AJ3" s="548"/>
      <c r="AK3" s="548"/>
      <c r="AL3" s="548"/>
      <c r="AM3" s="548"/>
      <c r="AN3" s="548"/>
      <c r="AO3" s="548"/>
      <c r="AP3" s="548"/>
      <c r="AQ3" s="548"/>
      <c r="AR3" s="548" t="s">
        <v>471</v>
      </c>
      <c r="AS3" s="548"/>
      <c r="AT3" s="548"/>
      <c r="AU3" s="548"/>
      <c r="AV3" s="548"/>
      <c r="AW3" s="709" t="s">
        <v>481</v>
      </c>
      <c r="AX3" s="709"/>
      <c r="AY3" s="709"/>
      <c r="AZ3" s="709"/>
      <c r="BA3" s="709"/>
      <c r="BB3" s="708"/>
      <c r="BC3" s="548"/>
      <c r="BD3" s="573" t="s">
        <v>482</v>
      </c>
      <c r="BE3" s="548"/>
      <c r="BF3" s="548"/>
      <c r="BG3" s="548"/>
      <c r="BH3" s="573" t="s">
        <v>505</v>
      </c>
      <c r="BI3" s="548"/>
      <c r="BJ3" s="548"/>
      <c r="BK3" s="548"/>
      <c r="BL3" s="548"/>
      <c r="BM3" s="548"/>
      <c r="BN3" s="573" t="s">
        <v>501</v>
      </c>
      <c r="BO3" s="548"/>
      <c r="BP3" s="548"/>
      <c r="BQ3" s="548"/>
      <c r="BR3" s="548"/>
      <c r="BS3" s="574" t="s">
        <v>502</v>
      </c>
      <c r="BT3" s="548"/>
      <c r="BU3" s="548"/>
      <c r="BV3" s="548"/>
      <c r="BW3" s="548"/>
      <c r="BX3" s="548"/>
      <c r="BY3" s="573"/>
      <c r="BZ3" s="548"/>
      <c r="CA3" s="548"/>
      <c r="CB3" s="548"/>
      <c r="CC3" s="548"/>
    </row>
    <row r="4" spans="2:84" ht="45" customHeight="1" thickBot="1" x14ac:dyDescent="0.25">
      <c r="E4" s="246" t="s">
        <v>25</v>
      </c>
      <c r="F4" s="620" t="s">
        <v>597</v>
      </c>
      <c r="G4" s="453" t="s">
        <v>596</v>
      </c>
      <c r="H4" s="621" t="s">
        <v>598</v>
      </c>
      <c r="I4" s="622" t="s">
        <v>599</v>
      </c>
      <c r="J4" s="247" t="s">
        <v>423</v>
      </c>
      <c r="K4" s="248" t="s">
        <v>603</v>
      </c>
      <c r="L4" s="623" t="s">
        <v>424</v>
      </c>
      <c r="M4" s="624"/>
      <c r="N4" s="249" t="s">
        <v>48</v>
      </c>
      <c r="O4" s="624" t="s">
        <v>607</v>
      </c>
      <c r="P4" s="624" t="s">
        <v>622</v>
      </c>
      <c r="Q4" s="624" t="s">
        <v>600</v>
      </c>
      <c r="R4" s="624" t="s">
        <v>601</v>
      </c>
      <c r="S4" s="624" t="s">
        <v>602</v>
      </c>
      <c r="T4" s="624" t="s">
        <v>425</v>
      </c>
      <c r="U4" s="624" t="s">
        <v>477</v>
      </c>
      <c r="V4" s="624" t="s">
        <v>476</v>
      </c>
      <c r="W4" s="625" t="s">
        <v>431</v>
      </c>
      <c r="X4" s="626" t="s">
        <v>436</v>
      </c>
      <c r="Z4" s="250" t="s">
        <v>428</v>
      </c>
      <c r="AA4" s="250" t="s">
        <v>475</v>
      </c>
      <c r="AB4" s="250" t="s">
        <v>604</v>
      </c>
      <c r="AC4" s="559"/>
      <c r="AD4" s="250" t="s">
        <v>474</v>
      </c>
      <c r="AE4" s="625" t="s">
        <v>437</v>
      </c>
      <c r="AF4" s="250" t="s">
        <v>605</v>
      </c>
      <c r="AG4" s="559"/>
      <c r="AH4" s="250" t="s">
        <v>440</v>
      </c>
      <c r="AI4" s="562" t="s">
        <v>441</v>
      </c>
      <c r="AJ4" s="562" t="s">
        <v>442</v>
      </c>
      <c r="AL4" s="558" t="s">
        <v>276</v>
      </c>
      <c r="AM4" s="558" t="s">
        <v>443</v>
      </c>
      <c r="AO4" s="250" t="s">
        <v>276</v>
      </c>
      <c r="AP4" s="250" t="s">
        <v>443</v>
      </c>
      <c r="AQ4" s="563"/>
      <c r="AR4" s="250" t="s">
        <v>478</v>
      </c>
      <c r="AS4" s="250" t="s">
        <v>472</v>
      </c>
      <c r="AT4" s="250" t="s">
        <v>473</v>
      </c>
      <c r="AU4" s="250" t="s">
        <v>48</v>
      </c>
      <c r="AV4" s="559"/>
      <c r="AW4" s="250" t="s">
        <v>608</v>
      </c>
      <c r="AX4" s="250" t="s">
        <v>721</v>
      </c>
      <c r="AY4" s="250" t="s">
        <v>609</v>
      </c>
      <c r="AZ4" s="250" t="s">
        <v>722</v>
      </c>
      <c r="BA4" s="250" t="s">
        <v>527</v>
      </c>
      <c r="BB4" s="250" t="s">
        <v>723</v>
      </c>
      <c r="BC4" s="559"/>
      <c r="BD4" s="572" t="s">
        <v>467</v>
      </c>
      <c r="BE4" s="250" t="s">
        <v>616</v>
      </c>
      <c r="BF4" s="250" t="s">
        <v>615</v>
      </c>
      <c r="BG4" s="559"/>
      <c r="BH4" s="572" t="s">
        <v>485</v>
      </c>
      <c r="BI4" s="250" t="s">
        <v>486</v>
      </c>
      <c r="BJ4" s="250" t="s">
        <v>484</v>
      </c>
      <c r="BK4" s="250" t="s">
        <v>480</v>
      </c>
      <c r="BL4" s="250" t="s">
        <v>489</v>
      </c>
      <c r="BM4" s="250" t="s">
        <v>503</v>
      </c>
      <c r="BN4" s="572" t="s">
        <v>618</v>
      </c>
      <c r="BO4" s="250" t="s">
        <v>617</v>
      </c>
      <c r="BP4" s="250" t="s">
        <v>488</v>
      </c>
      <c r="BQ4" s="250" t="s">
        <v>495</v>
      </c>
      <c r="BR4" s="250" t="s">
        <v>499</v>
      </c>
      <c r="BS4" s="572" t="s">
        <v>469</v>
      </c>
      <c r="BT4" s="250" t="s">
        <v>620</v>
      </c>
      <c r="BU4" s="250" t="s">
        <v>619</v>
      </c>
      <c r="BV4" s="250" t="s">
        <v>479</v>
      </c>
      <c r="BW4" s="250" t="s">
        <v>496</v>
      </c>
      <c r="BX4" s="250" t="s">
        <v>498</v>
      </c>
      <c r="BY4" s="572" t="s">
        <v>494</v>
      </c>
      <c r="BZ4" s="250" t="s">
        <v>224</v>
      </c>
      <c r="CA4" s="250" t="s">
        <v>47</v>
      </c>
      <c r="CB4" s="250" t="s">
        <v>497</v>
      </c>
      <c r="CC4" s="250" t="s">
        <v>621</v>
      </c>
      <c r="CE4" s="585" t="s">
        <v>510</v>
      </c>
    </row>
    <row r="5" spans="2:84" x14ac:dyDescent="0.2">
      <c r="E5" s="175">
        <v>0.1</v>
      </c>
      <c r="F5" s="222">
        <v>1.0000000000000001E-9</v>
      </c>
      <c r="G5" s="222">
        <v>1.0000000000000001E-9</v>
      </c>
      <c r="H5" s="222">
        <f t="shared" ref="H5:H36" si="0">F5*Vout</f>
        <v>1.2000000000000002E-8</v>
      </c>
      <c r="I5" s="222">
        <f>G5*Vout2</f>
        <v>1.2000000000000002E-8</v>
      </c>
      <c r="J5" s="556">
        <f t="shared" ref="J5:J68" si="1">Vin</f>
        <v>13.5</v>
      </c>
      <c r="K5" s="452">
        <f t="shared" ref="K5:K68" si="2">(S5+Vfwd1)*Nps</f>
        <v>12.25</v>
      </c>
      <c r="L5" s="452">
        <f t="shared" ref="L5:L68" si="3">(Vout+Vfwd1)*Nps+J5</f>
        <v>25.75</v>
      </c>
      <c r="M5" s="452"/>
      <c r="N5" s="222">
        <f t="shared" ref="N5:N68" si="4">(Vout+Vfwd1)*Nps/((Vout+Vfwd1)*Nps+J5)</f>
        <v>0.47572815533980584</v>
      </c>
      <c r="O5" s="177">
        <f>N5*J5*Isw_max*0.5*Efficiency*(Pout/Pout_total)</f>
        <v>12.507487864077669</v>
      </c>
      <c r="P5" s="177">
        <f t="shared" ref="P5:P36" si="5">N5*J5*Isw_max*0.5*Efficiency*(Pout2/Pout_total)</f>
        <v>7.8171799150485421</v>
      </c>
      <c r="Q5" s="222">
        <f t="shared" ref="Q5:Q68" si="6">O5/Vout</f>
        <v>1.0422906553398057</v>
      </c>
      <c r="R5" s="222">
        <f t="shared" ref="R5:R36" si="7">O5/Vout2</f>
        <v>1.0422906553398057</v>
      </c>
      <c r="S5" s="452">
        <f t="shared" ref="S5:S36" si="8">MIN(Vout,O5/F5)</f>
        <v>12</v>
      </c>
      <c r="T5" s="222">
        <f t="shared" ref="T5:T36" si="9">MIN(2*(Vout*F5+Vout2*G5)/(Efficiency*J5*N5), Isw_max)</f>
        <v>7.8672872657835077E-9</v>
      </c>
      <c r="U5" s="222">
        <f t="shared" ref="U5:U68" si="10">L*T5/J5*1000000</f>
        <v>4.0793341378136703E-9</v>
      </c>
      <c r="V5" s="222">
        <f t="shared" ref="V5:V68" si="11">L*T5/K5*1000000</f>
        <v>4.4955927233048611E-9</v>
      </c>
      <c r="W5" s="202">
        <f t="shared" ref="W5:W68" si="12">IF(1/((350000*L)*(1/J5+1/K5))&gt;Isw_min, 350, 0.001/((Isw_min*L)*(1/J5+1/K5)))</f>
        <v>350</v>
      </c>
      <c r="X5" s="452">
        <f>MIN(1/(U5+V5)*1000, 350)</f>
        <v>350</v>
      </c>
      <c r="Z5" s="222">
        <f t="shared" ref="Z5:Z68" si="13">1/((W5*1000*L)*(1/J5+1/K5))</f>
        <v>2.6213592233009715</v>
      </c>
      <c r="AA5" s="178">
        <f t="shared" ref="AA5:AA68" si="14">L*Z5/K5*1000000</f>
        <v>1.4979195561719838</v>
      </c>
      <c r="AB5" s="178">
        <f t="shared" ref="AB5:AB36" si="15">0.5*AA5*Z5*Nps*W5/1000*(Pout/Pout_total)</f>
        <v>0.68715241775850722</v>
      </c>
      <c r="AC5" s="178"/>
      <c r="AD5" s="178">
        <f t="shared" ref="AD5:AD68" si="16">L*Isw_min/K5*1000000</f>
        <v>0.46857142857142853</v>
      </c>
      <c r="AE5" s="560">
        <f t="shared" ref="AE5:AE36" si="17">MAX(10, F5/(0.5*AD5/1000000*Isw_min*Nps)/1000*Pout_total/Pout)</f>
        <v>10</v>
      </c>
      <c r="AF5" s="543">
        <f t="shared" ref="AF5:AF36" si="18">0.5*AD5/1000000*Isw_min*Nps*W5*1000*(Pout/Pout_total)</f>
        <v>6.723999999999998E-2</v>
      </c>
      <c r="AH5" s="178">
        <f t="shared" ref="AH5:AH36" si="19">SQRT((H5+I5)/(0.5*L*Fsw_DCM))</f>
        <v>1.3997084244475304E-4</v>
      </c>
      <c r="AI5" s="178">
        <f t="shared" ref="AI5:AI36" si="20">MAX(IF(F5&gt;AB5,T5,AH5),Isw_min)</f>
        <v>0.82</v>
      </c>
      <c r="AJ5" s="178">
        <f t="shared" ref="AJ5:AJ36" si="21">IF(F5&gt;AF5, (AI5-Isw_min)/1.08*0.8+1.2, AE5*0.2/350+1)</f>
        <v>1.0057142857142858</v>
      </c>
      <c r="AL5" s="560">
        <f t="shared" ref="AL5:AL36" si="22">F5*1000</f>
        <v>1.0000000000000002E-6</v>
      </c>
      <c r="AM5" s="470">
        <f t="shared" ref="AM5:AM36" si="23">IF(F5&gt;AF5, X5, AE5)</f>
        <v>10</v>
      </c>
      <c r="AO5">
        <f>IF(H5&gt;O5, "",AL5)</f>
        <v>1.0000000000000002E-6</v>
      </c>
      <c r="AP5" s="470">
        <f t="shared" ref="AP5:AP68" si="24">IF(H5&gt;O5, "",AM5)</f>
        <v>10</v>
      </c>
      <c r="AQ5" s="470"/>
      <c r="AR5" s="6">
        <f>1/AM5*1000</f>
        <v>100</v>
      </c>
      <c r="AS5" s="6">
        <f t="shared" ref="AS5:AS68" si="25">L*AI5/J5*1000000</f>
        <v>0.42518518518518511</v>
      </c>
      <c r="AT5" s="6">
        <f>AR5-AS5</f>
        <v>99.574814814814815</v>
      </c>
      <c r="AU5" s="178">
        <f>AS5/AR5</f>
        <v>4.2518518518518513E-3</v>
      </c>
      <c r="AW5" s="6">
        <f>L/(Npri_sec1^2)*Iout^2/(2*Vripple1_spec*Vout*Npri_sec1^2)*1000000000*((1+N5)/(1-N5))^2</f>
        <v>12.324950464868163</v>
      </c>
      <c r="AX5" s="6">
        <f>L*F5^2/(2*Cout*Vout*Nps^2)*1000000000*((1+N5)/(1-N5))^2+F5*RCoutEsr</f>
        <v>3.000000049168686E-9</v>
      </c>
      <c r="AY5" s="6">
        <f>L*Iout2^2/(2*Vripple2_spec*Vout2*Npri_sec2^2)*1000000000*((1+N5)/(1-N5))^2</f>
        <v>4.8144337753391264</v>
      </c>
      <c r="AZ5" s="6">
        <f>L*G5^2/(2*Cout2*Vout2*Npri_sec2^2)*1000000000*((1+N5)/(1-N5))^2+G5*CoutEsr2</f>
        <v>3.000000049168686E-9</v>
      </c>
      <c r="BA5" s="6">
        <f>(H5+I5)/Efficiency/J5*AT5/Vinripple1</f>
        <v>2.7605753294988736E-7</v>
      </c>
      <c r="BB5" s="470">
        <f>((BZ5/J5/Efficiency)*AT5/Cin+(BZ5/J5/Efficiency)*RCinEsr)*1000</f>
        <v>1.8639497509205113E-5</v>
      </c>
      <c r="BC5" s="6"/>
      <c r="BD5" s="178">
        <f>AI5*SQRT(AU5/3)</f>
        <v>3.0870402141777508E-2</v>
      </c>
      <c r="BE5" s="178">
        <f t="shared" ref="BE5:BE36" si="26">AI5*Npri_sec1*SQRT((1-AU5)/3)*(Pout/Pout_total)</f>
        <v>0.4724196774108147</v>
      </c>
      <c r="BF5" s="178">
        <f t="shared" ref="BF5:BF36" si="27">AI5*Npri_sec2*SQRT((1-AU5)/3)*(Pout2/Pout_total)</f>
        <v>0.29526229838175916</v>
      </c>
      <c r="BG5" s="178"/>
      <c r="BH5" s="543">
        <f t="shared" ref="BH5:BH68" si="28">Rdson*BD5^2</f>
        <v>1.0482799012345675E-4</v>
      </c>
      <c r="BI5" s="543">
        <f t="shared" ref="BI5:BI68" si="29">0.5*L5*AI5*AM5*1000*Trise</f>
        <v>1.0557499999999998E-3</v>
      </c>
      <c r="BJ5" s="543">
        <f t="shared" ref="BJ5:BJ68" si="30">Qg*Vdd*AM5*1000</f>
        <v>5.0000000000000001E-4</v>
      </c>
      <c r="BK5" s="543">
        <f t="shared" ref="BK5:BK68" si="31">0.5*(Coss+Csw)*L5^2*AM5*1000</f>
        <v>1.4918906249999997E-3</v>
      </c>
      <c r="BL5">
        <f t="shared" ref="BL5:BL68" si="32">J5*IQ</f>
        <v>3.9150000000000001E-3</v>
      </c>
      <c r="BM5" s="470">
        <f>SUM(BH5:BL5)*1000</f>
        <v>7.067468615123456</v>
      </c>
      <c r="BN5" s="178">
        <f t="shared" ref="BN5:BN36" si="33">Vfwd2*F5</f>
        <v>4.0000000000000007E-10</v>
      </c>
      <c r="BO5" s="178">
        <f t="shared" ref="BO5:BO36" si="34">Vfwd2*G5</f>
        <v>4.0000000000000007E-10</v>
      </c>
      <c r="BP5" s="543"/>
      <c r="BR5" s="470">
        <f>SUM(BN5:BQ5)*1000</f>
        <v>8.0000000000000018E-7</v>
      </c>
      <c r="BS5" s="543">
        <f t="shared" ref="BS5:BS68" si="35">Rdcr_pri*BD5^2</f>
        <v>3.8119269135802456E-5</v>
      </c>
      <c r="BT5" s="543">
        <f>Rdcr_sec*BE5^2</f>
        <v>8.9272140641975285E-3</v>
      </c>
      <c r="BU5" s="543">
        <f t="shared" ref="BU5:BU36" si="36">Rdcr_sec2*BF5^2</f>
        <v>2.6153947453703692E-3</v>
      </c>
      <c r="BV5" s="543">
        <f t="shared" ref="BV5:BV68" si="37">AI5^2.5*AM5^2.5*k_core</f>
        <v>0</v>
      </c>
      <c r="BW5" s="648">
        <f t="shared" ref="BW5:BW36" si="38">0.5*Lleak*0.000000001*AI5^2*AM5*1000</f>
        <v>2.5214999999999998E-4</v>
      </c>
      <c r="BX5" s="470">
        <f>SUM(BS5:BW5)*1000</f>
        <v>11.8328780787037</v>
      </c>
      <c r="BY5" s="178">
        <f>SUM(BH5:BL5,BN5:BQ5,BS5:BW5)</f>
        <v>1.8900347493827158E-2</v>
      </c>
      <c r="BZ5" s="6">
        <f>MIN(H5+I5,O5+P5)</f>
        <v>2.4000000000000003E-8</v>
      </c>
      <c r="CA5" s="178">
        <f>BZ5/(BZ5+BY5)</f>
        <v>1.2698163106390993E-6</v>
      </c>
      <c r="CB5" s="6">
        <f>CA5*100</f>
        <v>1.2698163106390992E-4</v>
      </c>
      <c r="CC5">
        <v>0</v>
      </c>
      <c r="CE5" s="577">
        <f t="shared" ref="CE5:CE36" si="39">IF(ABS(F5-Ioutmax_Vinnom)&lt;Iout/200, AM5, -50)</f>
        <v>-50</v>
      </c>
      <c r="CF5">
        <f t="shared" ref="CF5:CF36" si="40">IF(ABS(F5-Ioutmax_Vinnom)&lt;Iout/200, (O5+P5)*CA5, -50)</f>
        <v>-50</v>
      </c>
    </row>
    <row r="6" spans="2:84" x14ac:dyDescent="0.2">
      <c r="E6" s="175">
        <v>1</v>
      </c>
      <c r="F6" s="222">
        <f>IF(PLOT_TYPE=1, E6/100*Iout, min_I*EXP(O6*rr/100))</f>
        <v>8.0000000000000002E-3</v>
      </c>
      <c r="G6" s="222">
        <f t="shared" ref="G6:G37" si="41">IF(PLOT_TYPE=1, E6/100*Iout2, min_I*EXP(Q6*rr/100))</f>
        <v>5.0000000000000001E-3</v>
      </c>
      <c r="H6" s="222">
        <f t="shared" si="0"/>
        <v>9.6000000000000002E-2</v>
      </c>
      <c r="I6" s="222">
        <f>G6*Vout2</f>
        <v>0.06</v>
      </c>
      <c r="J6" s="556">
        <f t="shared" si="1"/>
        <v>13.5</v>
      </c>
      <c r="K6" s="452">
        <f t="shared" si="2"/>
        <v>12.25</v>
      </c>
      <c r="L6" s="452">
        <f t="shared" si="3"/>
        <v>25.75</v>
      </c>
      <c r="M6" s="452"/>
      <c r="N6" s="222">
        <f t="shared" si="4"/>
        <v>0.47572815533980584</v>
      </c>
      <c r="O6" s="177">
        <f t="shared" ref="O6:O37" si="42">N6*J6*Isw_max*0.5*Efficiency*Pout/(Pout+Pout2)</f>
        <v>7.6969156086631818</v>
      </c>
      <c r="P6" s="177">
        <f t="shared" si="5"/>
        <v>7.8171799150485421</v>
      </c>
      <c r="Q6" s="222">
        <f t="shared" si="6"/>
        <v>0.64140963405526519</v>
      </c>
      <c r="R6" s="222">
        <f t="shared" si="7"/>
        <v>0.64140963405526519</v>
      </c>
      <c r="S6" s="452">
        <f t="shared" si="8"/>
        <v>12</v>
      </c>
      <c r="T6" s="222">
        <f t="shared" si="9"/>
        <v>5.1137367227592788E-2</v>
      </c>
      <c r="U6" s="222">
        <f t="shared" si="10"/>
        <v>2.6515671895788854E-2</v>
      </c>
      <c r="V6" s="222">
        <f t="shared" si="11"/>
        <v>2.9221352701481594E-2</v>
      </c>
      <c r="W6" s="202">
        <f t="shared" si="12"/>
        <v>350</v>
      </c>
      <c r="X6" s="452">
        <f t="shared" ref="X6:X69" si="43">MIN(1/(U6+V6)*1000, 350)</f>
        <v>350</v>
      </c>
      <c r="Z6" s="222">
        <f t="shared" si="13"/>
        <v>2.6213592233009715</v>
      </c>
      <c r="AA6" s="178">
        <f t="shared" si="14"/>
        <v>1.4979195561719838</v>
      </c>
      <c r="AB6" s="178">
        <f t="shared" si="15"/>
        <v>0.68715241775850722</v>
      </c>
      <c r="AC6" s="178"/>
      <c r="AD6" s="178">
        <f t="shared" si="16"/>
        <v>0.46857142857142853</v>
      </c>
      <c r="AE6" s="560">
        <f t="shared" si="17"/>
        <v>41.64187983343249</v>
      </c>
      <c r="AF6" s="543">
        <f t="shared" si="18"/>
        <v>6.723999999999998E-2</v>
      </c>
      <c r="AH6" s="178">
        <f t="shared" si="19"/>
        <v>0.35685702847990847</v>
      </c>
      <c r="AI6" s="178">
        <f t="shared" si="20"/>
        <v>0.82</v>
      </c>
      <c r="AJ6" s="178">
        <f t="shared" si="21"/>
        <v>1.0237953599048186</v>
      </c>
      <c r="AL6" s="560">
        <f t="shared" si="22"/>
        <v>8</v>
      </c>
      <c r="AM6" s="470">
        <f t="shared" si="23"/>
        <v>41.64187983343249</v>
      </c>
      <c r="AO6">
        <f t="shared" ref="AO6:AO69" si="44">IF(H6&gt;O6, "",AL6)</f>
        <v>8</v>
      </c>
      <c r="AP6" s="470">
        <f t="shared" si="24"/>
        <v>41.64187983343249</v>
      </c>
      <c r="AQ6" s="470"/>
      <c r="AR6" s="6">
        <f t="shared" ref="AR6:AR69" si="45">1/AM6*1000</f>
        <v>24.014285714285709</v>
      </c>
      <c r="AS6" s="6">
        <f t="shared" si="25"/>
        <v>0.42518518518518511</v>
      </c>
      <c r="AT6" s="6">
        <f t="shared" ref="AT6:AT69" si="46">AR6-AS6</f>
        <v>23.589100529100524</v>
      </c>
      <c r="AU6" s="178">
        <f t="shared" ref="AU6:AU69" si="47">AS6/AR6</f>
        <v>1.7705510388437217E-2</v>
      </c>
      <c r="AW6" s="6">
        <f>L*Iout^2/(2*Vripple1_spec*Vout*Npri_sec1^2)*1000000000*((1+N6)/(1-N6))^2</f>
        <v>12.324950464868163</v>
      </c>
      <c r="AX6" s="6">
        <f>L*F6^2/(2*Cout*Vout*Nps^2)*1000000000*((1+N6)/(1-N6))^2+F6*RCoutEsr</f>
        <v>2.7146795863370595E-2</v>
      </c>
      <c r="AY6" s="6">
        <f>L*Iout2^2/(2*Vripple2_spec*Vout2*Npri_sec2^2)*1000000000*((1+N6)/(1-N6))^2</f>
        <v>4.8144337753391264</v>
      </c>
      <c r="AZ6" s="6">
        <f>L*G6^2/(2*Cout2*Vout2*Npri_sec2^2)*1000000000*((1+N6)/(1-N6))^2+G6*CoutEsr2</f>
        <v>1.6229217134129139E-2</v>
      </c>
      <c r="BA6" s="6">
        <f>(H6+I6)/Efficiency/J6*AT6/Vinripple1</f>
        <v>0.4250840727791127</v>
      </c>
      <c r="BB6" s="470">
        <f>((BZ6/J6/Efficiency)*AT6/Cin+(BZ6/J6/Efficiency)*RCinEsr)*1000</f>
        <v>28.729666140660285</v>
      </c>
      <c r="BC6" s="6"/>
      <c r="BD6" s="178">
        <f t="shared" ref="BD6:BD69" si="48">AI6*SQRT(AU6/3)</f>
        <v>6.2995198719651604E-2</v>
      </c>
      <c r="BE6" s="178">
        <f t="shared" si="26"/>
        <v>0.46921736782817924</v>
      </c>
      <c r="BF6" s="178">
        <f t="shared" si="27"/>
        <v>0.293260854892612</v>
      </c>
      <c r="BG6" s="178"/>
      <c r="BH6" s="543">
        <f t="shared" si="28"/>
        <v>4.3652345679012349E-4</v>
      </c>
      <c r="BI6" s="543">
        <f t="shared" si="29"/>
        <v>4.3963414634146346E-3</v>
      </c>
      <c r="BJ6" s="543">
        <f t="shared" si="30"/>
        <v>2.0820939916716247E-3</v>
      </c>
      <c r="BK6" s="543">
        <f t="shared" si="31"/>
        <v>6.2125130130874489E-3</v>
      </c>
      <c r="BL6">
        <f t="shared" si="32"/>
        <v>3.9150000000000001E-3</v>
      </c>
      <c r="BM6" s="470">
        <f t="shared" ref="BM6:BM69" si="49">SUM(BH6:BL6)*1000</f>
        <v>17.042471924963831</v>
      </c>
      <c r="BN6" s="178">
        <f t="shared" si="33"/>
        <v>3.2000000000000002E-3</v>
      </c>
      <c r="BO6" s="178">
        <f t="shared" si="34"/>
        <v>2E-3</v>
      </c>
      <c r="BP6" s="543"/>
      <c r="BR6" s="470">
        <f t="shared" ref="BR6:BR69" si="50">SUM(BN6:BQ6)*1000</f>
        <v>5.2</v>
      </c>
      <c r="BS6" s="543">
        <f t="shared" si="35"/>
        <v>1.5873580246913581E-4</v>
      </c>
      <c r="BT6" s="543">
        <f t="shared" ref="BT6:BT68" si="51">Rdcr_sec*BE6^2</f>
        <v>8.806597530864194E-3</v>
      </c>
      <c r="BU6" s="543">
        <f t="shared" si="36"/>
        <v>2.5800578703703688E-3</v>
      </c>
      <c r="BV6" s="543">
        <f t="shared" si="37"/>
        <v>0</v>
      </c>
      <c r="BW6" s="648">
        <f t="shared" si="38"/>
        <v>1.0500000000000002E-3</v>
      </c>
      <c r="BX6" s="470">
        <f t="shared" ref="BX6:BX69" si="52">SUM(BS6:BW6)*1000</f>
        <v>12.595391203703699</v>
      </c>
      <c r="BY6" s="178">
        <f t="shared" ref="BY6:BY69" si="53">SUM(BH6:BL6,BN6:BQ6,BS6:BW6)</f>
        <v>3.4837863128667539E-2</v>
      </c>
      <c r="BZ6" s="6">
        <f t="shared" ref="BZ6:BZ69" si="54">MIN(H6+I6,O6+P6)</f>
        <v>0.156</v>
      </c>
      <c r="CA6" s="178">
        <f t="shared" ref="CA6:CA69" si="55">BZ6/(BZ6+BY6)</f>
        <v>0.81744784521518665</v>
      </c>
      <c r="CB6" s="6">
        <f t="shared" ref="CB6:CB69" si="56">CA6*100</f>
        <v>81.744784521518667</v>
      </c>
      <c r="CC6">
        <f t="shared" ref="CC6:CC37" si="57">F6/Iout*100</f>
        <v>1</v>
      </c>
      <c r="CE6" s="577">
        <f t="shared" si="39"/>
        <v>-50</v>
      </c>
      <c r="CF6">
        <f t="shared" si="40"/>
        <v>-50</v>
      </c>
    </row>
    <row r="7" spans="2:84" x14ac:dyDescent="0.2">
      <c r="E7" s="175">
        <v>2</v>
      </c>
      <c r="F7" s="222">
        <f>IF(PLOT_TYPE=1, E7/100*Iout, min_I*EXP(O7*rr/100))</f>
        <v>1.6E-2</v>
      </c>
      <c r="G7" s="222">
        <f t="shared" si="41"/>
        <v>0.01</v>
      </c>
      <c r="H7" s="222">
        <f t="shared" si="0"/>
        <v>0.192</v>
      </c>
      <c r="I7" s="222">
        <f>G7*Vout2</f>
        <v>0.12</v>
      </c>
      <c r="J7" s="556">
        <f t="shared" si="1"/>
        <v>13.5</v>
      </c>
      <c r="K7" s="452">
        <f t="shared" si="2"/>
        <v>12.25</v>
      </c>
      <c r="L7" s="452">
        <f t="shared" si="3"/>
        <v>25.75</v>
      </c>
      <c r="M7" s="452"/>
      <c r="N7" s="222">
        <f t="shared" si="4"/>
        <v>0.47572815533980584</v>
      </c>
      <c r="O7" s="177">
        <f t="shared" si="42"/>
        <v>7.6969156086631818</v>
      </c>
      <c r="P7" s="177">
        <f t="shared" si="5"/>
        <v>7.8171799150485421</v>
      </c>
      <c r="Q7" s="222">
        <f t="shared" si="6"/>
        <v>0.64140963405526519</v>
      </c>
      <c r="R7" s="222">
        <f t="shared" si="7"/>
        <v>0.64140963405526519</v>
      </c>
      <c r="S7" s="452">
        <f t="shared" si="8"/>
        <v>12</v>
      </c>
      <c r="T7" s="222">
        <f t="shared" si="9"/>
        <v>0.10227473445518558</v>
      </c>
      <c r="U7" s="222">
        <f t="shared" si="10"/>
        <v>5.3031343791577708E-2</v>
      </c>
      <c r="V7" s="222">
        <f t="shared" si="11"/>
        <v>5.8442705402963188E-2</v>
      </c>
      <c r="W7" s="202">
        <f t="shared" si="12"/>
        <v>350</v>
      </c>
      <c r="X7" s="452">
        <f t="shared" si="43"/>
        <v>350</v>
      </c>
      <c r="Z7" s="222">
        <f t="shared" si="13"/>
        <v>2.6213592233009715</v>
      </c>
      <c r="AA7" s="178">
        <f t="shared" si="14"/>
        <v>1.4979195561719838</v>
      </c>
      <c r="AB7" s="178">
        <f t="shared" si="15"/>
        <v>0.68715241775850722</v>
      </c>
      <c r="AC7" s="178"/>
      <c r="AD7" s="178">
        <f t="shared" si="16"/>
        <v>0.46857142857142853</v>
      </c>
      <c r="AE7" s="560">
        <f t="shared" si="17"/>
        <v>83.283759666864981</v>
      </c>
      <c r="AF7" s="543">
        <f t="shared" si="18"/>
        <v>6.723999999999998E-2</v>
      </c>
      <c r="AH7" s="178">
        <f t="shared" si="19"/>
        <v>0.50467204950444844</v>
      </c>
      <c r="AI7" s="178">
        <f t="shared" si="20"/>
        <v>0.82</v>
      </c>
      <c r="AJ7" s="178">
        <f t="shared" si="21"/>
        <v>1.0475907198096372</v>
      </c>
      <c r="AL7" s="560">
        <f t="shared" si="22"/>
        <v>16</v>
      </c>
      <c r="AM7" s="470">
        <f t="shared" si="23"/>
        <v>83.283759666864981</v>
      </c>
      <c r="AO7">
        <f t="shared" si="44"/>
        <v>16</v>
      </c>
      <c r="AP7" s="470">
        <f t="shared" si="24"/>
        <v>83.283759666864981</v>
      </c>
      <c r="AQ7" s="470"/>
      <c r="AR7" s="6">
        <f t="shared" si="45"/>
        <v>12.007142857142854</v>
      </c>
      <c r="AS7" s="6">
        <f t="shared" si="25"/>
        <v>0.42518518518518511</v>
      </c>
      <c r="AT7" s="6">
        <f t="shared" si="46"/>
        <v>11.581957671957669</v>
      </c>
      <c r="AU7" s="178">
        <f t="shared" si="47"/>
        <v>3.5411020776874434E-2</v>
      </c>
      <c r="AW7" s="6">
        <f>L*Iout^2/(2*Vripple1_spec*Vout*Npri_sec1^2)*1000000000*((1+N7)/(1-N7))^2</f>
        <v>12.324950464868163</v>
      </c>
      <c r="AX7" s="6">
        <f>L*F7^2/(2*Cout*Vout*Nps^2)*1000000000*((1+N7)/(1-N7))^2+F7*RCoutEsr</f>
        <v>6.0587183453482379E-2</v>
      </c>
      <c r="AY7" s="6">
        <f>L*Iout2^2/(2*Vripple2_spec*Vout2*Npri_sec2^2)*1000000000*((1+N7)/(1-N7))^2</f>
        <v>4.8144337753391264</v>
      </c>
      <c r="AZ7" s="6">
        <f>L*G7^2/(2*Cout2*Vout2*Npri_sec2^2)*1000000000*((1+N7)/(1-N7))^2+G7*CoutEsr2</f>
        <v>3.4916868536516557E-2</v>
      </c>
      <c r="BA7" s="6">
        <f>(H7+I7)/Efficiency/J7*AT7/Vinripple1</f>
        <v>0.41742208287064236</v>
      </c>
      <c r="BB7" s="470">
        <f>((BZ7/J7/Efficiency)*AT7/Cin+(BZ7/J7/Efficiency)*RCinEsr)*1000</f>
        <v>28.248973049908713</v>
      </c>
      <c r="BC7" s="6"/>
      <c r="BD7" s="178">
        <f t="shared" si="48"/>
        <v>8.9088664393719527E-2</v>
      </c>
      <c r="BE7" s="178">
        <f t="shared" si="26"/>
        <v>0.46496940029412309</v>
      </c>
      <c r="BF7" s="178">
        <f t="shared" si="27"/>
        <v>0.29060587518382686</v>
      </c>
      <c r="BG7" s="178"/>
      <c r="BH7" s="543">
        <f t="shared" si="28"/>
        <v>8.7304691358024676E-4</v>
      </c>
      <c r="BI7" s="543">
        <f t="shared" si="29"/>
        <v>8.7926829268292692E-3</v>
      </c>
      <c r="BJ7" s="543">
        <f t="shared" si="30"/>
        <v>4.1641879833432495E-3</v>
      </c>
      <c r="BK7" s="543">
        <f t="shared" si="31"/>
        <v>1.2425026026174898E-2</v>
      </c>
      <c r="BL7">
        <f t="shared" si="32"/>
        <v>3.9150000000000001E-3</v>
      </c>
      <c r="BM7" s="470">
        <f t="shared" si="49"/>
        <v>30.169943849927662</v>
      </c>
      <c r="BN7" s="178">
        <f t="shared" si="33"/>
        <v>6.4000000000000003E-3</v>
      </c>
      <c r="BO7" s="178">
        <f t="shared" si="34"/>
        <v>4.0000000000000001E-3</v>
      </c>
      <c r="BP7" s="543"/>
      <c r="BR7" s="470">
        <f t="shared" si="50"/>
        <v>10.4</v>
      </c>
      <c r="BS7" s="543">
        <f t="shared" si="35"/>
        <v>3.1747160493827156E-4</v>
      </c>
      <c r="BT7" s="543">
        <f t="shared" si="51"/>
        <v>8.6478617283950593E-3</v>
      </c>
      <c r="BU7" s="543">
        <f t="shared" si="36"/>
        <v>2.5335532407407386E-3</v>
      </c>
      <c r="BV7" s="543">
        <f t="shared" si="37"/>
        <v>0</v>
      </c>
      <c r="BW7" s="648">
        <f t="shared" si="38"/>
        <v>2.1000000000000003E-3</v>
      </c>
      <c r="BX7" s="470">
        <f t="shared" si="52"/>
        <v>13.59888657407407</v>
      </c>
      <c r="BY7" s="178">
        <f t="shared" si="53"/>
        <v>5.4168830424001738E-2</v>
      </c>
      <c r="BZ7" s="6">
        <f t="shared" si="54"/>
        <v>0.312</v>
      </c>
      <c r="CA7" s="178">
        <f t="shared" si="55"/>
        <v>0.85206597087666514</v>
      </c>
      <c r="CB7" s="6">
        <f t="shared" si="56"/>
        <v>85.206597087666509</v>
      </c>
      <c r="CC7">
        <f t="shared" si="57"/>
        <v>2</v>
      </c>
      <c r="CE7" s="577">
        <f t="shared" si="39"/>
        <v>-50</v>
      </c>
      <c r="CF7">
        <f t="shared" si="40"/>
        <v>-50</v>
      </c>
    </row>
    <row r="8" spans="2:84" x14ac:dyDescent="0.2">
      <c r="E8" s="175">
        <v>3</v>
      </c>
      <c r="F8" s="222">
        <f t="shared" ref="F8:F39" si="58">IF(PLOT_TYPE=1, E8/100*Iout_max, min_I*EXP(O8*rr/100))</f>
        <v>2.4E-2</v>
      </c>
      <c r="G8" s="222">
        <f t="shared" si="41"/>
        <v>1.4999999999999999E-2</v>
      </c>
      <c r="H8" s="222">
        <f t="shared" si="0"/>
        <v>0.28800000000000003</v>
      </c>
      <c r="I8" s="222">
        <f t="shared" ref="I8:I39" si="59">Vout2*G8</f>
        <v>0.18</v>
      </c>
      <c r="J8" s="556">
        <f t="shared" si="1"/>
        <v>13.5</v>
      </c>
      <c r="K8" s="452">
        <f t="shared" si="2"/>
        <v>12.25</v>
      </c>
      <c r="L8" s="452">
        <f t="shared" si="3"/>
        <v>25.75</v>
      </c>
      <c r="M8" s="452"/>
      <c r="N8" s="222">
        <f t="shared" si="4"/>
        <v>0.47572815533980584</v>
      </c>
      <c r="O8" s="177">
        <f t="shared" si="42"/>
        <v>7.6969156086631818</v>
      </c>
      <c r="P8" s="177">
        <f t="shared" si="5"/>
        <v>7.8171799150485421</v>
      </c>
      <c r="Q8" s="222">
        <f t="shared" si="6"/>
        <v>0.64140963405526519</v>
      </c>
      <c r="R8" s="222">
        <f t="shared" si="7"/>
        <v>0.64140963405526519</v>
      </c>
      <c r="S8" s="452">
        <f t="shared" si="8"/>
        <v>12</v>
      </c>
      <c r="T8" s="222">
        <f t="shared" si="9"/>
        <v>0.15341210168277838</v>
      </c>
      <c r="U8" s="222">
        <f t="shared" si="10"/>
        <v>7.9547015687366565E-2</v>
      </c>
      <c r="V8" s="222">
        <f t="shared" si="11"/>
        <v>8.7664058104444789E-2</v>
      </c>
      <c r="W8" s="202">
        <f t="shared" si="12"/>
        <v>350</v>
      </c>
      <c r="X8" s="452">
        <f t="shared" si="43"/>
        <v>350</v>
      </c>
      <c r="Z8" s="222">
        <f t="shared" si="13"/>
        <v>2.6213592233009715</v>
      </c>
      <c r="AA8" s="178">
        <f t="shared" si="14"/>
        <v>1.4979195561719838</v>
      </c>
      <c r="AB8" s="178">
        <f t="shared" si="15"/>
        <v>0.68715241775850722</v>
      </c>
      <c r="AC8" s="178"/>
      <c r="AD8" s="178">
        <f t="shared" si="16"/>
        <v>0.46857142857142853</v>
      </c>
      <c r="AE8" s="560">
        <f t="shared" si="17"/>
        <v>124.92563950029748</v>
      </c>
      <c r="AF8" s="543">
        <f t="shared" si="18"/>
        <v>6.723999999999998E-2</v>
      </c>
      <c r="AH8" s="178">
        <f t="shared" si="19"/>
        <v>0.61809450436525526</v>
      </c>
      <c r="AI8" s="178">
        <f t="shared" si="20"/>
        <v>0.82</v>
      </c>
      <c r="AJ8" s="178">
        <f t="shared" si="21"/>
        <v>1.0713860797144557</v>
      </c>
      <c r="AL8" s="560">
        <f t="shared" si="22"/>
        <v>24</v>
      </c>
      <c r="AM8" s="470">
        <f t="shared" si="23"/>
        <v>124.92563950029748</v>
      </c>
      <c r="AO8">
        <f t="shared" si="44"/>
        <v>24</v>
      </c>
      <c r="AP8" s="470">
        <f t="shared" si="24"/>
        <v>124.92563950029748</v>
      </c>
      <c r="AQ8" s="470"/>
      <c r="AR8" s="6">
        <f t="shared" si="45"/>
        <v>8.0047619047619012</v>
      </c>
      <c r="AS8" s="6">
        <f t="shared" si="25"/>
        <v>0.42518518518518511</v>
      </c>
      <c r="AT8" s="6">
        <f t="shared" si="46"/>
        <v>7.5795767195767159</v>
      </c>
      <c r="AU8" s="178">
        <f t="shared" si="47"/>
        <v>5.3116531165311669E-2</v>
      </c>
      <c r="AW8" s="6">
        <f>L*Iout^2/(2*Vripple1_spec*Vout*Npri_sec1^2)*1000000000*((1+N8)/(1-N8))^2</f>
        <v>12.324950464868163</v>
      </c>
      <c r="AX8" s="6">
        <f>L*F8^2/(2*Cout*Vout*Nps^2)*1000000000*((1+N8)/(1-N8))^2+F8*RCoutEsr</f>
        <v>0.10032116277033536</v>
      </c>
      <c r="AY8" s="6">
        <f>L*Iout2^2/(2*Vripple2_spec*Vout2*Npri_sec2^2)*1000000000*((1+N8)/(1-N8))^2</f>
        <v>4.8144337753391264</v>
      </c>
      <c r="AZ8" s="6">
        <f>L*G8^2/(2*Cout2*Vout2*Npri_sec2^2)*1000000000*((1+N8)/(1-N8))^2+G8*CoutEsr2</f>
        <v>5.6062954207162244E-2</v>
      </c>
      <c r="BA8" s="6">
        <f>(H8+I8)/Efficiency/J8*AT8/Vinripple1</f>
        <v>0.40976009296217203</v>
      </c>
      <c r="BB8" s="470">
        <f>((BZ8/J8/Efficiency)*AT8/Cin+(BZ8/J8/Efficiency)*RCinEsr)*1000</f>
        <v>27.768279959157145</v>
      </c>
      <c r="BC8" s="6"/>
      <c r="BD8" s="178">
        <f t="shared" si="48"/>
        <v>0.10911088481533447</v>
      </c>
      <c r="BE8" s="178">
        <f t="shared" si="26"/>
        <v>0.46068226376554605</v>
      </c>
      <c r="BF8" s="178">
        <f t="shared" si="27"/>
        <v>0.28792641485346621</v>
      </c>
      <c r="BG8" s="178"/>
      <c r="BH8" s="543">
        <f t="shared" si="28"/>
        <v>1.3095703703703706E-3</v>
      </c>
      <c r="BI8" s="543">
        <f t="shared" si="29"/>
        <v>1.3189024390243907E-2</v>
      </c>
      <c r="BJ8" s="543">
        <f t="shared" si="30"/>
        <v>6.2462819750148729E-3</v>
      </c>
      <c r="BK8" s="543">
        <f t="shared" si="31"/>
        <v>1.8637539039262348E-2</v>
      </c>
      <c r="BL8">
        <f t="shared" si="32"/>
        <v>3.9150000000000001E-3</v>
      </c>
      <c r="BM8" s="470">
        <f t="shared" si="49"/>
        <v>43.297415774891505</v>
      </c>
      <c r="BN8" s="178">
        <f t="shared" si="33"/>
        <v>9.6000000000000009E-3</v>
      </c>
      <c r="BO8" s="178">
        <f t="shared" si="34"/>
        <v>6.0000000000000001E-3</v>
      </c>
      <c r="BP8" s="543"/>
      <c r="BR8" s="470">
        <f t="shared" si="50"/>
        <v>15.600000000000001</v>
      </c>
      <c r="BS8" s="543">
        <f t="shared" si="35"/>
        <v>4.7620740740740748E-4</v>
      </c>
      <c r="BT8" s="543">
        <f t="shared" si="51"/>
        <v>8.4891259259259264E-3</v>
      </c>
      <c r="BU8" s="543">
        <f t="shared" si="36"/>
        <v>2.4870486111111096E-3</v>
      </c>
      <c r="BV8" s="543">
        <f t="shared" si="37"/>
        <v>0</v>
      </c>
      <c r="BW8" s="648">
        <f t="shared" si="38"/>
        <v>3.1500000000000009E-3</v>
      </c>
      <c r="BX8" s="470">
        <f t="shared" si="52"/>
        <v>14.602381944444444</v>
      </c>
      <c r="BY8" s="178">
        <f t="shared" si="53"/>
        <v>7.3499797719335944E-2</v>
      </c>
      <c r="BZ8" s="6">
        <f t="shared" si="54"/>
        <v>0.46800000000000003</v>
      </c>
      <c r="CA8" s="178">
        <f t="shared" si="55"/>
        <v>0.86426625082982667</v>
      </c>
      <c r="CB8" s="6">
        <f t="shared" si="56"/>
        <v>86.426625082982667</v>
      </c>
      <c r="CC8">
        <f t="shared" si="57"/>
        <v>3</v>
      </c>
      <c r="CE8" s="577">
        <f t="shared" si="39"/>
        <v>-50</v>
      </c>
      <c r="CF8">
        <f t="shared" si="40"/>
        <v>-50</v>
      </c>
    </row>
    <row r="9" spans="2:84" x14ac:dyDescent="0.2">
      <c r="E9" s="175">
        <v>4</v>
      </c>
      <c r="F9" s="222">
        <f t="shared" si="58"/>
        <v>3.2000000000000001E-2</v>
      </c>
      <c r="G9" s="222">
        <f t="shared" si="41"/>
        <v>0.02</v>
      </c>
      <c r="H9" s="222">
        <f t="shared" si="0"/>
        <v>0.38400000000000001</v>
      </c>
      <c r="I9" s="222">
        <f t="shared" si="59"/>
        <v>0.24</v>
      </c>
      <c r="J9" s="556">
        <f t="shared" si="1"/>
        <v>13.5</v>
      </c>
      <c r="K9" s="452">
        <f t="shared" si="2"/>
        <v>12.25</v>
      </c>
      <c r="L9" s="452">
        <f t="shared" si="3"/>
        <v>25.75</v>
      </c>
      <c r="M9" s="452"/>
      <c r="N9" s="222">
        <f t="shared" si="4"/>
        <v>0.47572815533980584</v>
      </c>
      <c r="O9" s="177">
        <f t="shared" si="42"/>
        <v>7.6969156086631818</v>
      </c>
      <c r="P9" s="177">
        <f t="shared" si="5"/>
        <v>7.8171799150485421</v>
      </c>
      <c r="Q9" s="222">
        <f t="shared" si="6"/>
        <v>0.64140963405526519</v>
      </c>
      <c r="R9" s="222">
        <f t="shared" si="7"/>
        <v>0.64140963405526519</v>
      </c>
      <c r="S9" s="452">
        <f t="shared" si="8"/>
        <v>12</v>
      </c>
      <c r="T9" s="222">
        <f t="shared" si="9"/>
        <v>0.20454946891037115</v>
      </c>
      <c r="U9" s="222">
        <f t="shared" si="10"/>
        <v>0.10606268758315542</v>
      </c>
      <c r="V9" s="222">
        <f t="shared" si="11"/>
        <v>0.11688541080592638</v>
      </c>
      <c r="W9" s="202">
        <f t="shared" si="12"/>
        <v>350</v>
      </c>
      <c r="X9" s="452">
        <f t="shared" si="43"/>
        <v>350</v>
      </c>
      <c r="Z9" s="222">
        <f t="shared" si="13"/>
        <v>2.6213592233009715</v>
      </c>
      <c r="AA9" s="178">
        <f t="shared" si="14"/>
        <v>1.4979195561719838</v>
      </c>
      <c r="AB9" s="178">
        <f t="shared" si="15"/>
        <v>0.68715241775850722</v>
      </c>
      <c r="AC9" s="178"/>
      <c r="AD9" s="178">
        <f t="shared" si="16"/>
        <v>0.46857142857142853</v>
      </c>
      <c r="AE9" s="560">
        <f t="shared" si="17"/>
        <v>166.56751933372996</v>
      </c>
      <c r="AF9" s="543">
        <f t="shared" si="18"/>
        <v>6.723999999999998E-2</v>
      </c>
      <c r="AH9" s="178">
        <f t="shared" si="19"/>
        <v>0.71371405695981693</v>
      </c>
      <c r="AI9" s="178">
        <f t="shared" si="20"/>
        <v>0.82</v>
      </c>
      <c r="AJ9" s="178">
        <f t="shared" si="21"/>
        <v>1.0951814396192743</v>
      </c>
      <c r="AL9" s="560">
        <f t="shared" si="22"/>
        <v>32</v>
      </c>
      <c r="AM9" s="470">
        <f t="shared" si="23"/>
        <v>166.56751933372996</v>
      </c>
      <c r="AO9">
        <f t="shared" si="44"/>
        <v>32</v>
      </c>
      <c r="AP9" s="470">
        <f t="shared" si="24"/>
        <v>166.56751933372996</v>
      </c>
      <c r="AQ9" s="470"/>
      <c r="AR9" s="6">
        <f t="shared" si="45"/>
        <v>6.0035714285714272</v>
      </c>
      <c r="AS9" s="6">
        <f t="shared" si="25"/>
        <v>0.42518518518518511</v>
      </c>
      <c r="AT9" s="6">
        <f t="shared" si="46"/>
        <v>5.5783862433862419</v>
      </c>
      <c r="AU9" s="178">
        <f t="shared" si="47"/>
        <v>7.0822041553748868E-2</v>
      </c>
      <c r="AW9" s="6">
        <f>L*Iout^2/(2*Vripple1_spec*Vout*Npri_sec1^2)*1000000000*((1+N9)/(1-N9))^2</f>
        <v>12.324950464868163</v>
      </c>
      <c r="AX9" s="6">
        <f>L*F9^2/(2*Cout*Vout*Nps^2)*1000000000*((1+N9)/(1-N9))^2+F9*RCoutEsr</f>
        <v>0.14634873381392952</v>
      </c>
      <c r="AY9" s="6">
        <f>L*Iout2^2/(2*Vripple2_spec*Vout2*Npri_sec2^2)*1000000000*((1+N9)/(1-N9))^2</f>
        <v>4.8144337753391264</v>
      </c>
      <c r="AZ9" s="6">
        <f>L*G9^2/(2*Cout2*Vout2*Npri_sec2^2)*1000000000*((1+N9)/(1-N9))^2+G9*CoutEsr2</f>
        <v>7.9667474146066217E-2</v>
      </c>
      <c r="BA9" s="6">
        <f>(H9+I9)/Efficiency/J9*AT9/Vinripple1</f>
        <v>0.40209810305370181</v>
      </c>
      <c r="BB9" s="470">
        <f>((BZ9/J9/Efficiency)*AT9/Cin+(BZ9/J9/Efficiency)*RCinEsr)*1000</f>
        <v>27.287586868405572</v>
      </c>
      <c r="BC9" s="6"/>
      <c r="BD9" s="178">
        <f t="shared" si="48"/>
        <v>0.12599039743930321</v>
      </c>
      <c r="BE9" s="178">
        <f t="shared" si="26"/>
        <v>0.45635485434738149</v>
      </c>
      <c r="BF9" s="178">
        <f t="shared" si="27"/>
        <v>0.2852217839671134</v>
      </c>
      <c r="BG9" s="178"/>
      <c r="BH9" s="543">
        <f t="shared" si="28"/>
        <v>1.746093827160494E-3</v>
      </c>
      <c r="BI9" s="543">
        <f t="shared" si="29"/>
        <v>1.7585365853658538E-2</v>
      </c>
      <c r="BJ9" s="543">
        <f t="shared" si="30"/>
        <v>8.3283759666864989E-3</v>
      </c>
      <c r="BK9" s="543">
        <f t="shared" si="31"/>
        <v>2.4850052052349796E-2</v>
      </c>
      <c r="BL9">
        <f t="shared" si="32"/>
        <v>3.9150000000000001E-3</v>
      </c>
      <c r="BM9" s="470">
        <f t="shared" si="49"/>
        <v>56.424887699855326</v>
      </c>
      <c r="BN9" s="178">
        <f t="shared" si="33"/>
        <v>1.2800000000000001E-2</v>
      </c>
      <c r="BO9" s="178">
        <f t="shared" si="34"/>
        <v>8.0000000000000002E-3</v>
      </c>
      <c r="BP9" s="543"/>
      <c r="BR9" s="470">
        <f t="shared" si="50"/>
        <v>20.8</v>
      </c>
      <c r="BS9" s="543">
        <f t="shared" si="35"/>
        <v>6.3494320987654324E-4</v>
      </c>
      <c r="BT9" s="543">
        <f t="shared" si="51"/>
        <v>8.3303901234567917E-3</v>
      </c>
      <c r="BU9" s="543">
        <f t="shared" si="36"/>
        <v>2.440543981481481E-3</v>
      </c>
      <c r="BV9" s="543">
        <f t="shared" si="37"/>
        <v>0</v>
      </c>
      <c r="BW9" s="648">
        <f t="shared" si="38"/>
        <v>4.2000000000000006E-3</v>
      </c>
      <c r="BX9" s="470">
        <f t="shared" si="52"/>
        <v>15.605877314814817</v>
      </c>
      <c r="BY9" s="178">
        <f t="shared" si="53"/>
        <v>9.283076501467015E-2</v>
      </c>
      <c r="BZ9" s="6">
        <f t="shared" si="54"/>
        <v>0.624</v>
      </c>
      <c r="CA9" s="178">
        <f t="shared" si="55"/>
        <v>0.8704983525466149</v>
      </c>
      <c r="CB9" s="6">
        <f t="shared" si="56"/>
        <v>87.049835254661488</v>
      </c>
      <c r="CC9">
        <f t="shared" si="57"/>
        <v>4</v>
      </c>
      <c r="CE9" s="577">
        <f t="shared" si="39"/>
        <v>-50</v>
      </c>
      <c r="CF9">
        <f t="shared" si="40"/>
        <v>-50</v>
      </c>
    </row>
    <row r="10" spans="2:84" x14ac:dyDescent="0.2">
      <c r="E10" s="175">
        <v>5</v>
      </c>
      <c r="F10" s="222">
        <f t="shared" si="58"/>
        <v>4.0000000000000008E-2</v>
      </c>
      <c r="G10" s="222">
        <f t="shared" si="41"/>
        <v>2.5000000000000001E-2</v>
      </c>
      <c r="H10" s="222">
        <f t="shared" si="0"/>
        <v>0.48000000000000009</v>
      </c>
      <c r="I10" s="222">
        <f t="shared" si="59"/>
        <v>0.30000000000000004</v>
      </c>
      <c r="J10" s="556">
        <f t="shared" si="1"/>
        <v>13.5</v>
      </c>
      <c r="K10" s="452">
        <f t="shared" si="2"/>
        <v>12.25</v>
      </c>
      <c r="L10" s="452">
        <f t="shared" si="3"/>
        <v>25.75</v>
      </c>
      <c r="M10" s="452"/>
      <c r="N10" s="222">
        <f t="shared" si="4"/>
        <v>0.47572815533980584</v>
      </c>
      <c r="O10" s="177">
        <f t="shared" si="42"/>
        <v>7.6969156086631818</v>
      </c>
      <c r="P10" s="177">
        <f t="shared" si="5"/>
        <v>7.8171799150485421</v>
      </c>
      <c r="Q10" s="222">
        <f t="shared" si="6"/>
        <v>0.64140963405526519</v>
      </c>
      <c r="R10" s="222">
        <f t="shared" si="7"/>
        <v>0.64140963405526519</v>
      </c>
      <c r="S10" s="452">
        <f t="shared" si="8"/>
        <v>12</v>
      </c>
      <c r="T10" s="222">
        <f t="shared" si="9"/>
        <v>0.255686836137964</v>
      </c>
      <c r="U10" s="222">
        <f t="shared" si="10"/>
        <v>0.13257835947894428</v>
      </c>
      <c r="V10" s="222">
        <f t="shared" si="11"/>
        <v>0.14610676350740798</v>
      </c>
      <c r="W10" s="202">
        <f t="shared" si="12"/>
        <v>350</v>
      </c>
      <c r="X10" s="452">
        <f t="shared" si="43"/>
        <v>350</v>
      </c>
      <c r="Z10" s="222">
        <f t="shared" si="13"/>
        <v>2.6213592233009715</v>
      </c>
      <c r="AA10" s="178">
        <f t="shared" si="14"/>
        <v>1.4979195561719838</v>
      </c>
      <c r="AB10" s="178">
        <f t="shared" si="15"/>
        <v>0.68715241775850722</v>
      </c>
      <c r="AC10" s="178"/>
      <c r="AD10" s="178">
        <f t="shared" si="16"/>
        <v>0.46857142857142853</v>
      </c>
      <c r="AE10" s="560">
        <f t="shared" si="17"/>
        <v>208.20939916716247</v>
      </c>
      <c r="AF10" s="543">
        <f t="shared" si="18"/>
        <v>6.723999999999998E-2</v>
      </c>
      <c r="AH10" s="178">
        <f t="shared" si="19"/>
        <v>0.7979565739296538</v>
      </c>
      <c r="AI10" s="178">
        <f t="shared" si="20"/>
        <v>0.82</v>
      </c>
      <c r="AJ10" s="178">
        <f t="shared" si="21"/>
        <v>1.1189767995240929</v>
      </c>
      <c r="AL10" s="560">
        <f t="shared" si="22"/>
        <v>40.000000000000007</v>
      </c>
      <c r="AM10" s="470">
        <f t="shared" si="23"/>
        <v>208.20939916716247</v>
      </c>
      <c r="AO10">
        <f t="shared" si="44"/>
        <v>40.000000000000007</v>
      </c>
      <c r="AP10" s="470">
        <f t="shared" si="24"/>
        <v>208.20939916716247</v>
      </c>
      <c r="AQ10" s="470"/>
      <c r="AR10" s="6">
        <f t="shared" si="45"/>
        <v>4.8028571428571407</v>
      </c>
      <c r="AS10" s="6">
        <f t="shared" si="25"/>
        <v>0.42518518518518511</v>
      </c>
      <c r="AT10" s="6">
        <f t="shared" si="46"/>
        <v>4.3776719576719554</v>
      </c>
      <c r="AU10" s="178">
        <f t="shared" si="47"/>
        <v>8.8527551942186117E-2</v>
      </c>
      <c r="AW10" s="6">
        <f>L*Iout^2/(2*Vripple1_spec*Vout*Npri_sec1^2)*1000000000*((1+N10)/(1-N10))^2</f>
        <v>12.324950464868163</v>
      </c>
      <c r="AX10" s="6">
        <f>L*F10^2/(2*Cout*Vout*Nps^2)*1000000000*((1+N10)/(1-N10))^2+F10*RCoutEsr</f>
        <v>0.19866989658426493</v>
      </c>
      <c r="AY10" s="6">
        <f>L*Iout2^2/(2*Vripple2_spec*Vout2*Npri_sec2^2)*1000000000*((1+N10)/(1-N10))^2</f>
        <v>4.8144337753391264</v>
      </c>
      <c r="AZ10" s="6">
        <f>L*G10^2/(2*Cout2*Vout2*Npri_sec2^2)*1000000000*((1+N10)/(1-N10))^2+G10*CoutEsr2</f>
        <v>0.10573042835322848</v>
      </c>
      <c r="BA10" s="6">
        <f>(H10+I10)/Efficiency/J10*AT10/Vinripple1</f>
        <v>0.39443611314523147</v>
      </c>
      <c r="BB10" s="470">
        <f>((BZ10/J10/Efficiency)*AT10/Cin+(BZ10/J10/Efficiency)*RCinEsr)*1000</f>
        <v>26.806893777654004</v>
      </c>
      <c r="BC10" s="6"/>
      <c r="BD10" s="178">
        <f t="shared" si="48"/>
        <v>0.1408615465932487</v>
      </c>
      <c r="BE10" s="178">
        <f t="shared" si="26"/>
        <v>0.45198601529769844</v>
      </c>
      <c r="BF10" s="178">
        <f t="shared" si="27"/>
        <v>0.28249125956106147</v>
      </c>
      <c r="BG10" s="178"/>
      <c r="BH10" s="543">
        <f t="shared" si="28"/>
        <v>2.1826172839506173E-3</v>
      </c>
      <c r="BI10" s="543">
        <f t="shared" si="29"/>
        <v>2.1981707317073176E-2</v>
      </c>
      <c r="BJ10" s="543">
        <f t="shared" si="30"/>
        <v>1.0410469958358122E-2</v>
      </c>
      <c r="BK10" s="543">
        <f t="shared" si="31"/>
        <v>3.1062565065437246E-2</v>
      </c>
      <c r="BL10">
        <f t="shared" si="32"/>
        <v>3.9150000000000001E-3</v>
      </c>
      <c r="BM10" s="470">
        <f t="shared" si="49"/>
        <v>69.552359624819161</v>
      </c>
      <c r="BN10" s="178">
        <f t="shared" si="33"/>
        <v>1.6000000000000004E-2</v>
      </c>
      <c r="BO10" s="178">
        <f t="shared" si="34"/>
        <v>1.0000000000000002E-2</v>
      </c>
      <c r="BP10" s="543"/>
      <c r="BR10" s="470">
        <f t="shared" si="50"/>
        <v>26.000000000000007</v>
      </c>
      <c r="BS10" s="543">
        <f t="shared" si="35"/>
        <v>7.9367901234567899E-4</v>
      </c>
      <c r="BT10" s="543">
        <f t="shared" si="51"/>
        <v>8.1716543209876518E-3</v>
      </c>
      <c r="BU10" s="543">
        <f t="shared" si="36"/>
        <v>2.3940393518518499E-3</v>
      </c>
      <c r="BV10" s="543">
        <f t="shared" si="37"/>
        <v>0</v>
      </c>
      <c r="BW10" s="648">
        <f t="shared" si="38"/>
        <v>5.2500000000000012E-3</v>
      </c>
      <c r="BX10" s="470">
        <f t="shared" si="52"/>
        <v>16.609372685185182</v>
      </c>
      <c r="BY10" s="178">
        <f t="shared" si="53"/>
        <v>0.11216173231000437</v>
      </c>
      <c r="BZ10" s="6">
        <f t="shared" si="54"/>
        <v>0.78000000000000014</v>
      </c>
      <c r="CA10" s="178">
        <f t="shared" si="55"/>
        <v>0.87428094229104314</v>
      </c>
      <c r="CB10" s="6">
        <f t="shared" si="56"/>
        <v>87.428094229104317</v>
      </c>
      <c r="CC10">
        <f t="shared" si="57"/>
        <v>5.0000000000000009</v>
      </c>
      <c r="CE10" s="577">
        <f t="shared" si="39"/>
        <v>-50</v>
      </c>
      <c r="CF10">
        <f t="shared" si="40"/>
        <v>-50</v>
      </c>
    </row>
    <row r="11" spans="2:84" x14ac:dyDescent="0.2">
      <c r="E11" s="175">
        <v>6</v>
      </c>
      <c r="F11" s="222">
        <f t="shared" si="58"/>
        <v>4.8000000000000001E-2</v>
      </c>
      <c r="G11" s="222">
        <f t="shared" si="41"/>
        <v>0.03</v>
      </c>
      <c r="H11" s="222">
        <f t="shared" si="0"/>
        <v>0.57600000000000007</v>
      </c>
      <c r="I11" s="222">
        <f t="shared" si="59"/>
        <v>0.36</v>
      </c>
      <c r="J11" s="556">
        <f t="shared" si="1"/>
        <v>13.5</v>
      </c>
      <c r="K11" s="452">
        <f t="shared" si="2"/>
        <v>12.25</v>
      </c>
      <c r="L11" s="452">
        <f t="shared" si="3"/>
        <v>25.75</v>
      </c>
      <c r="M11" s="452"/>
      <c r="N11" s="222">
        <f t="shared" si="4"/>
        <v>0.47572815533980584</v>
      </c>
      <c r="O11" s="177">
        <f t="shared" si="42"/>
        <v>7.6969156086631818</v>
      </c>
      <c r="P11" s="177">
        <f t="shared" si="5"/>
        <v>7.8171799150485421</v>
      </c>
      <c r="Q11" s="222">
        <f t="shared" si="6"/>
        <v>0.64140963405526519</v>
      </c>
      <c r="R11" s="222">
        <f t="shared" si="7"/>
        <v>0.64140963405526519</v>
      </c>
      <c r="S11" s="452">
        <f t="shared" si="8"/>
        <v>12</v>
      </c>
      <c r="T11" s="222">
        <f t="shared" si="9"/>
        <v>0.30682420336555677</v>
      </c>
      <c r="U11" s="222">
        <f t="shared" si="10"/>
        <v>0.15909403137473313</v>
      </c>
      <c r="V11" s="222">
        <f t="shared" si="11"/>
        <v>0.17532811620888958</v>
      </c>
      <c r="W11" s="202">
        <f t="shared" si="12"/>
        <v>350</v>
      </c>
      <c r="X11" s="452">
        <f t="shared" si="43"/>
        <v>350</v>
      </c>
      <c r="Z11" s="222">
        <f t="shared" si="13"/>
        <v>2.6213592233009715</v>
      </c>
      <c r="AA11" s="178">
        <f t="shared" si="14"/>
        <v>1.4979195561719838</v>
      </c>
      <c r="AB11" s="178">
        <f t="shared" si="15"/>
        <v>0.68715241775850722</v>
      </c>
      <c r="AC11" s="178"/>
      <c r="AD11" s="178">
        <f t="shared" si="16"/>
        <v>0.46857142857142853</v>
      </c>
      <c r="AE11" s="560">
        <f t="shared" si="17"/>
        <v>249.85127900059496</v>
      </c>
      <c r="AF11" s="543">
        <f t="shared" si="18"/>
        <v>6.723999999999998E-2</v>
      </c>
      <c r="AH11" s="178">
        <f t="shared" si="19"/>
        <v>0.8741176309016202</v>
      </c>
      <c r="AI11" s="178">
        <f t="shared" si="20"/>
        <v>0.8741176309016202</v>
      </c>
      <c r="AJ11" s="178">
        <f t="shared" si="21"/>
        <v>1.1427721594289113</v>
      </c>
      <c r="AL11" s="560">
        <f t="shared" si="22"/>
        <v>48</v>
      </c>
      <c r="AM11" s="470">
        <f t="shared" si="23"/>
        <v>249.85127900059496</v>
      </c>
      <c r="AO11">
        <f t="shared" si="44"/>
        <v>48</v>
      </c>
      <c r="AP11" s="470">
        <f t="shared" si="24"/>
        <v>249.85127900059496</v>
      </c>
      <c r="AQ11" s="470"/>
      <c r="AR11" s="6">
        <f t="shared" si="45"/>
        <v>4.0023809523809506</v>
      </c>
      <c r="AS11" s="6">
        <f t="shared" si="25"/>
        <v>0.45324617898602532</v>
      </c>
      <c r="AT11" s="6">
        <f t="shared" si="46"/>
        <v>3.5491347733949254</v>
      </c>
      <c r="AU11" s="178">
        <f t="shared" si="47"/>
        <v>0.11324413752179102</v>
      </c>
      <c r="AW11" s="6">
        <f>L*Iout^2/(2*Vripple1_spec*Vout*Npri_sec1^2)*1000000000*((1+N11)/(1-N11))^2</f>
        <v>12.324950464868163</v>
      </c>
      <c r="AX11" s="6">
        <f>L*F11^2/(2*Cout*Vout*Nps^2)*1000000000*((1+N11)/(1-N11))^2+F11*RCoutEsr</f>
        <v>0.25728465108134141</v>
      </c>
      <c r="AY11" s="6">
        <f>L*Iout2^2/(2*Vripple2_spec*Vout2*Npri_sec2^2)*1000000000*((1+N11)/(1-N11))^2</f>
        <v>4.8144337753391264</v>
      </c>
      <c r="AZ11" s="6">
        <f>L*G11^2/(2*Cout2*Vout2*Npri_sec2^2)*1000000000*((1+N11)/(1-N11))^2+G11*CoutEsr2</f>
        <v>0.13425181682864898</v>
      </c>
      <c r="BA11" s="6">
        <f>(H11+I11)/Efficiency/J11*AT11/Vinripple1</f>
        <v>0.38374010805257674</v>
      </c>
      <c r="BB11" s="470">
        <f>((BZ11/J11/Efficiency)*AT11/Cin+(BZ11/J11/Efficiency)*RCinEsr)*1000</f>
        <v>26.121404661969986</v>
      </c>
      <c r="BC11" s="6"/>
      <c r="BD11" s="178">
        <f t="shared" si="48"/>
        <v>0.16983105868876269</v>
      </c>
      <c r="BE11" s="178">
        <f t="shared" si="26"/>
        <v>0.47523813931088743</v>
      </c>
      <c r="BF11" s="178">
        <f t="shared" si="27"/>
        <v>0.29702383706930457</v>
      </c>
      <c r="BG11" s="178"/>
      <c r="BH11" s="543">
        <f t="shared" si="28"/>
        <v>3.1726847344880553E-3</v>
      </c>
      <c r="BI11" s="543">
        <f t="shared" si="29"/>
        <v>2.8118923790009E-2</v>
      </c>
      <c r="BJ11" s="543">
        <f t="shared" si="30"/>
        <v>1.2492563950029746E-2</v>
      </c>
      <c r="BK11" s="543">
        <f t="shared" si="31"/>
        <v>3.7275078078524697E-2</v>
      </c>
      <c r="BL11">
        <f t="shared" si="32"/>
        <v>3.9150000000000001E-3</v>
      </c>
      <c r="BM11" s="470">
        <f t="shared" si="49"/>
        <v>84.97425055305149</v>
      </c>
      <c r="BN11" s="178">
        <f t="shared" si="33"/>
        <v>1.9200000000000002E-2</v>
      </c>
      <c r="BO11" s="178">
        <f t="shared" si="34"/>
        <v>1.2E-2</v>
      </c>
      <c r="BP11" s="543"/>
      <c r="BR11" s="470">
        <f t="shared" si="50"/>
        <v>31.200000000000003</v>
      </c>
      <c r="BS11" s="543">
        <f t="shared" si="35"/>
        <v>1.1537035398138382E-3</v>
      </c>
      <c r="BT11" s="543">
        <f t="shared" si="51"/>
        <v>9.0340515622269781E-3</v>
      </c>
      <c r="BU11" s="543">
        <f t="shared" si="36"/>
        <v>2.6466947936211833E-3</v>
      </c>
      <c r="BV11" s="543">
        <f t="shared" si="37"/>
        <v>0</v>
      </c>
      <c r="BW11" s="648">
        <f t="shared" si="38"/>
        <v>7.1590039942211296E-3</v>
      </c>
      <c r="BX11" s="470">
        <f t="shared" si="52"/>
        <v>19.993453889883131</v>
      </c>
      <c r="BY11" s="178">
        <f t="shared" si="53"/>
        <v>0.13616770444293461</v>
      </c>
      <c r="BZ11" s="6">
        <f t="shared" si="54"/>
        <v>0.93600000000000005</v>
      </c>
      <c r="CA11" s="178">
        <f t="shared" si="55"/>
        <v>0.87299775596795914</v>
      </c>
      <c r="CB11" s="6">
        <f t="shared" si="56"/>
        <v>87.299775596795911</v>
      </c>
      <c r="CC11">
        <f t="shared" si="57"/>
        <v>6</v>
      </c>
      <c r="CE11" s="577">
        <f t="shared" si="39"/>
        <v>-50</v>
      </c>
      <c r="CF11">
        <f t="shared" si="40"/>
        <v>-50</v>
      </c>
    </row>
    <row r="12" spans="2:84" x14ac:dyDescent="0.2">
      <c r="E12" s="175">
        <v>7</v>
      </c>
      <c r="F12" s="222">
        <f t="shared" si="58"/>
        <v>5.6000000000000008E-2</v>
      </c>
      <c r="G12" s="222">
        <f t="shared" si="41"/>
        <v>3.5000000000000003E-2</v>
      </c>
      <c r="H12" s="222">
        <f t="shared" si="0"/>
        <v>0.67200000000000015</v>
      </c>
      <c r="I12" s="222">
        <f t="shared" si="59"/>
        <v>0.42000000000000004</v>
      </c>
      <c r="J12" s="556">
        <f t="shared" si="1"/>
        <v>13.5</v>
      </c>
      <c r="K12" s="452">
        <f t="shared" si="2"/>
        <v>12.25</v>
      </c>
      <c r="L12" s="452">
        <f t="shared" si="3"/>
        <v>25.75</v>
      </c>
      <c r="M12" s="452"/>
      <c r="N12" s="222">
        <f t="shared" si="4"/>
        <v>0.47572815533980584</v>
      </c>
      <c r="O12" s="177">
        <f t="shared" si="42"/>
        <v>7.6969156086631818</v>
      </c>
      <c r="P12" s="177">
        <f t="shared" si="5"/>
        <v>7.8171799150485421</v>
      </c>
      <c r="Q12" s="222">
        <f t="shared" si="6"/>
        <v>0.64140963405526519</v>
      </c>
      <c r="R12" s="222">
        <f t="shared" si="7"/>
        <v>0.64140963405526519</v>
      </c>
      <c r="S12" s="452">
        <f t="shared" si="8"/>
        <v>12</v>
      </c>
      <c r="T12" s="222">
        <f t="shared" si="9"/>
        <v>0.35796157059314959</v>
      </c>
      <c r="U12" s="222">
        <f t="shared" si="10"/>
        <v>0.18560970327052201</v>
      </c>
      <c r="V12" s="222">
        <f t="shared" si="11"/>
        <v>0.20454946891037118</v>
      </c>
      <c r="W12" s="202">
        <f t="shared" si="12"/>
        <v>350</v>
      </c>
      <c r="X12" s="452">
        <f t="shared" si="43"/>
        <v>350</v>
      </c>
      <c r="Z12" s="222">
        <f t="shared" si="13"/>
        <v>2.6213592233009715</v>
      </c>
      <c r="AA12" s="178">
        <f t="shared" si="14"/>
        <v>1.4979195561719838</v>
      </c>
      <c r="AB12" s="178">
        <f t="shared" si="15"/>
        <v>0.68715241775850722</v>
      </c>
      <c r="AC12" s="178"/>
      <c r="AD12" s="178">
        <f t="shared" si="16"/>
        <v>0.46857142857142853</v>
      </c>
      <c r="AE12" s="560">
        <f t="shared" si="17"/>
        <v>291.4931588340275</v>
      </c>
      <c r="AF12" s="543">
        <f t="shared" si="18"/>
        <v>6.723999999999998E-2</v>
      </c>
      <c r="AH12" s="178">
        <f t="shared" si="19"/>
        <v>0.9441549509633318</v>
      </c>
      <c r="AI12" s="178">
        <f t="shared" si="20"/>
        <v>0.9441549509633318</v>
      </c>
      <c r="AJ12" s="178">
        <f t="shared" si="21"/>
        <v>1.1665675193337299</v>
      </c>
      <c r="AL12" s="560">
        <f t="shared" si="22"/>
        <v>56.000000000000007</v>
      </c>
      <c r="AM12" s="470">
        <f t="shared" si="23"/>
        <v>291.4931588340275</v>
      </c>
      <c r="AO12">
        <f t="shared" si="44"/>
        <v>56.000000000000007</v>
      </c>
      <c r="AP12" s="470">
        <f t="shared" si="24"/>
        <v>291.4931588340275</v>
      </c>
      <c r="AQ12" s="470"/>
      <c r="AR12" s="6">
        <f t="shared" si="45"/>
        <v>3.4306122448979579</v>
      </c>
      <c r="AS12" s="6">
        <f t="shared" si="25"/>
        <v>0.48956182642543122</v>
      </c>
      <c r="AT12" s="6">
        <f t="shared" si="46"/>
        <v>2.9410504184725266</v>
      </c>
      <c r="AU12" s="178">
        <f t="shared" si="47"/>
        <v>0.14270392322930481</v>
      </c>
      <c r="AW12" s="6">
        <f>L*Iout^2/(2*Vripple1_spec*Vout*Npri_sec1^2)*1000000000*((1+N12)/(1-N12))^2</f>
        <v>12.324950464868163</v>
      </c>
      <c r="AX12" s="6">
        <f>L*F12^2/(2*Cout*Vout*Nps^2)*1000000000*((1+N12)/(1-N12))^2+F12*RCoutEsr</f>
        <v>0.32219299730515921</v>
      </c>
      <c r="AY12" s="6">
        <f>L*Iout2^2/(2*Vripple2_spec*Vout2*Npri_sec2^2)*1000000000*((1+N12)/(1-N12))^2</f>
        <v>4.8144337753391264</v>
      </c>
      <c r="AZ12" s="6">
        <f>L*G12^2/(2*Cout2*Vout2*Npri_sec2^2)*1000000000*((1+N12)/(1-N12))^2+G12*CoutEsr2</f>
        <v>0.16523163957232778</v>
      </c>
      <c r="BA12" s="6">
        <f>(H12+I12)/Efficiency/J12*AT12/Vinripple1</f>
        <v>0.37099150178003021</v>
      </c>
      <c r="BB12" s="470">
        <f>((BZ12/J12/Efficiency)*AT12/Cin+(BZ12/J12/Efficiency)*RCinEsr)*1000</f>
        <v>25.297364966643276</v>
      </c>
      <c r="BC12" s="6"/>
      <c r="BD12" s="178">
        <f t="shared" si="48"/>
        <v>0.20592098356857802</v>
      </c>
      <c r="BE12" s="178">
        <f t="shared" si="26"/>
        <v>0.50471715412595852</v>
      </c>
      <c r="BF12" s="178">
        <f t="shared" si="27"/>
        <v>0.31544822132872402</v>
      </c>
      <c r="BG12" s="178"/>
      <c r="BH12" s="543">
        <f t="shared" si="28"/>
        <v>4.6643796621235641E-3</v>
      </c>
      <c r="BI12" s="543">
        <f t="shared" si="29"/>
        <v>3.5433893794705067E-2</v>
      </c>
      <c r="BJ12" s="543">
        <f t="shared" si="30"/>
        <v>1.4574657941701374E-2</v>
      </c>
      <c r="BK12" s="543">
        <f t="shared" si="31"/>
        <v>4.3487591091612154E-2</v>
      </c>
      <c r="BL12">
        <f t="shared" si="32"/>
        <v>3.9150000000000001E-3</v>
      </c>
      <c r="BM12" s="470">
        <f t="shared" si="49"/>
        <v>102.07552249014216</v>
      </c>
      <c r="BN12" s="178">
        <f t="shared" si="33"/>
        <v>2.2400000000000003E-2</v>
      </c>
      <c r="BO12" s="178">
        <f t="shared" si="34"/>
        <v>1.4000000000000002E-2</v>
      </c>
      <c r="BP12" s="543"/>
      <c r="BR12" s="470">
        <f t="shared" si="50"/>
        <v>36.4</v>
      </c>
      <c r="BS12" s="543">
        <f t="shared" si="35"/>
        <v>1.6961380589540231E-3</v>
      </c>
      <c r="BT12" s="543">
        <f t="shared" si="51"/>
        <v>1.0189576226760262E-2</v>
      </c>
      <c r="BU12" s="543">
        <f t="shared" si="36"/>
        <v>2.9852274101836696E-3</v>
      </c>
      <c r="BV12" s="543">
        <f t="shared" si="37"/>
        <v>0</v>
      </c>
      <c r="BW12" s="648">
        <f t="shared" si="38"/>
        <v>9.744199881023206E-3</v>
      </c>
      <c r="BX12" s="470">
        <f t="shared" si="52"/>
        <v>24.615141576921165</v>
      </c>
      <c r="BY12" s="178">
        <f t="shared" si="53"/>
        <v>0.16309066406706332</v>
      </c>
      <c r="BZ12" s="6">
        <f t="shared" si="54"/>
        <v>1.0920000000000001</v>
      </c>
      <c r="CA12" s="178">
        <f t="shared" si="55"/>
        <v>0.87005666703106888</v>
      </c>
      <c r="CB12" s="6">
        <f t="shared" si="56"/>
        <v>87.005666703106883</v>
      </c>
      <c r="CC12">
        <f t="shared" si="57"/>
        <v>7.0000000000000009</v>
      </c>
      <c r="CE12" s="577">
        <f t="shared" si="39"/>
        <v>-50</v>
      </c>
      <c r="CF12">
        <f t="shared" si="40"/>
        <v>-50</v>
      </c>
    </row>
    <row r="13" spans="2:84" s="77" customFormat="1" x14ac:dyDescent="0.2">
      <c r="E13" s="194">
        <v>8</v>
      </c>
      <c r="F13" s="222">
        <f t="shared" si="58"/>
        <v>6.4000000000000001E-2</v>
      </c>
      <c r="G13" s="222">
        <f t="shared" si="41"/>
        <v>0.04</v>
      </c>
      <c r="H13" s="222">
        <f t="shared" si="0"/>
        <v>0.76800000000000002</v>
      </c>
      <c r="I13" s="222">
        <f t="shared" si="59"/>
        <v>0.48</v>
      </c>
      <c r="J13" s="556">
        <f t="shared" si="1"/>
        <v>13.5</v>
      </c>
      <c r="K13" s="452">
        <f t="shared" si="2"/>
        <v>12.25</v>
      </c>
      <c r="L13" s="550">
        <f t="shared" si="3"/>
        <v>25.75</v>
      </c>
      <c r="M13" s="550"/>
      <c r="N13" s="334">
        <f t="shared" si="4"/>
        <v>0.47572815533980584</v>
      </c>
      <c r="O13" s="177">
        <f t="shared" si="42"/>
        <v>7.6969156086631818</v>
      </c>
      <c r="P13" s="177">
        <f t="shared" si="5"/>
        <v>7.8171799150485421</v>
      </c>
      <c r="Q13" s="334">
        <f t="shared" si="6"/>
        <v>0.64140963405526519</v>
      </c>
      <c r="R13" s="222">
        <f t="shared" si="7"/>
        <v>0.64140963405526519</v>
      </c>
      <c r="S13" s="452">
        <f t="shared" si="8"/>
        <v>12</v>
      </c>
      <c r="T13" s="222">
        <f t="shared" si="9"/>
        <v>0.4090989378207423</v>
      </c>
      <c r="U13" s="334">
        <f t="shared" si="10"/>
        <v>0.21212537516631083</v>
      </c>
      <c r="V13" s="222">
        <f t="shared" si="11"/>
        <v>0.23377082161185275</v>
      </c>
      <c r="W13" s="552">
        <f t="shared" si="12"/>
        <v>350</v>
      </c>
      <c r="X13" s="550">
        <f t="shared" si="43"/>
        <v>350</v>
      </c>
      <c r="Z13" s="334">
        <f t="shared" si="13"/>
        <v>2.6213592233009715</v>
      </c>
      <c r="AA13" s="178">
        <f t="shared" si="14"/>
        <v>1.4979195561719838</v>
      </c>
      <c r="AB13" s="178">
        <f t="shared" si="15"/>
        <v>0.68715241775850722</v>
      </c>
      <c r="AC13" s="553"/>
      <c r="AD13" s="178">
        <f t="shared" si="16"/>
        <v>0.46857142857142853</v>
      </c>
      <c r="AE13" s="560">
        <f t="shared" si="17"/>
        <v>333.13503866745992</v>
      </c>
      <c r="AF13" s="543">
        <f t="shared" si="18"/>
        <v>6.723999999999998E-2</v>
      </c>
      <c r="AG13"/>
      <c r="AH13" s="178">
        <f t="shared" si="19"/>
        <v>1.0093440990088969</v>
      </c>
      <c r="AI13" s="178">
        <f t="shared" si="20"/>
        <v>1.0093440990088969</v>
      </c>
      <c r="AJ13" s="178">
        <f t="shared" si="21"/>
        <v>1.1903628792385486</v>
      </c>
      <c r="AL13" s="560">
        <f t="shared" si="22"/>
        <v>64</v>
      </c>
      <c r="AM13" s="470">
        <f t="shared" si="23"/>
        <v>333.13503866745992</v>
      </c>
      <c r="AO13">
        <f t="shared" si="44"/>
        <v>64</v>
      </c>
      <c r="AP13" s="470">
        <f t="shared" si="24"/>
        <v>333.13503866745992</v>
      </c>
      <c r="AQ13" s="470"/>
      <c r="AR13" s="6">
        <f t="shared" si="45"/>
        <v>3.0017857142857136</v>
      </c>
      <c r="AS13" s="6">
        <f t="shared" si="25"/>
        <v>0.52336360689350203</v>
      </c>
      <c r="AT13" s="6">
        <f t="shared" si="46"/>
        <v>2.4784221073922117</v>
      </c>
      <c r="AU13" s="178">
        <f t="shared" si="47"/>
        <v>0.17435075541960809</v>
      </c>
      <c r="AW13" s="6">
        <f>L*Iout^2/(2*Vripple1_spec*Vout*Npri_sec1^2)*1000000000*((1+N13)/(1-N13))^2</f>
        <v>12.324950464868163</v>
      </c>
      <c r="AX13" s="6">
        <f>L*F13^2/(2*Cout*Vout*Nps^2)*1000000000*((1+N13)/(1-N13))^2+F13*RCoutEsr</f>
        <v>0.393394935255718</v>
      </c>
      <c r="AY13" s="6">
        <f>L*Iout2^2/(2*Vripple2_spec*Vout2*Npri_sec2^2)*1000000000*((1+N13)/(1-N13))^2</f>
        <v>4.8144337753391264</v>
      </c>
      <c r="AZ13" s="6">
        <f>L*G13^2/(2*Cout2*Vout2*Npri_sec2^2)*1000000000*((1+N13)/(1-N13))^2+G13*CoutEsr2</f>
        <v>0.19866989658426487</v>
      </c>
      <c r="BA13" s="6">
        <f>(H13+I13)/Efficiency/J13*AT13/Vinripple1</f>
        <v>0.35729645975314184</v>
      </c>
      <c r="BB13" s="470">
        <f>((BZ13/J13/Efficiency)*AT13/Cin+(BZ13/J13/Efficiency)*RCinEsr)*1000</f>
        <v>24.409440857898481</v>
      </c>
      <c r="BC13" s="6"/>
      <c r="BD13" s="178">
        <f t="shared" si="48"/>
        <v>0.24332713220893823</v>
      </c>
      <c r="BE13" s="178">
        <f t="shared" si="26"/>
        <v>0.52951274155176653</v>
      </c>
      <c r="BF13" s="178">
        <f t="shared" si="27"/>
        <v>0.33094546346985404</v>
      </c>
      <c r="BG13" s="178"/>
      <c r="BH13" s="543">
        <f t="shared" si="28"/>
        <v>6.512890259592871E-3</v>
      </c>
      <c r="BI13" s="543">
        <f t="shared" si="29"/>
        <v>4.3291915251958045E-2</v>
      </c>
      <c r="BJ13" s="543">
        <f t="shared" si="30"/>
        <v>1.6656751933372998E-2</v>
      </c>
      <c r="BK13" s="543">
        <f t="shared" si="31"/>
        <v>4.9700104104699591E-2</v>
      </c>
      <c r="BL13">
        <f t="shared" si="32"/>
        <v>3.9150000000000001E-3</v>
      </c>
      <c r="BM13" s="470">
        <f t="shared" si="49"/>
        <v>120.07666154962349</v>
      </c>
      <c r="BN13" s="178">
        <f t="shared" si="33"/>
        <v>2.5600000000000001E-2</v>
      </c>
      <c r="BO13" s="178">
        <f t="shared" si="34"/>
        <v>1.6E-2</v>
      </c>
      <c r="BP13" s="543"/>
      <c r="BR13" s="470">
        <f t="shared" si="50"/>
        <v>41.6</v>
      </c>
      <c r="BS13" s="543">
        <f t="shared" si="35"/>
        <v>2.368323730761044E-3</v>
      </c>
      <c r="BT13" s="543">
        <f t="shared" si="51"/>
        <v>1.1215349738626717E-2</v>
      </c>
      <c r="BU13" s="543">
        <f t="shared" si="36"/>
        <v>3.2857469937382948E-3</v>
      </c>
      <c r="BV13" s="543">
        <f t="shared" si="37"/>
        <v>0</v>
      </c>
      <c r="BW13" s="648">
        <f t="shared" si="38"/>
        <v>1.2727118211948678E-2</v>
      </c>
      <c r="BX13" s="470">
        <f t="shared" si="52"/>
        <v>29.596538675074729</v>
      </c>
      <c r="BY13" s="178">
        <f t="shared" si="53"/>
        <v>0.19127320022469826</v>
      </c>
      <c r="BZ13" s="6">
        <f t="shared" si="54"/>
        <v>1.248</v>
      </c>
      <c r="CA13" s="178">
        <f t="shared" si="55"/>
        <v>0.86710431334729443</v>
      </c>
      <c r="CB13" s="6">
        <f t="shared" si="56"/>
        <v>86.710431334729449</v>
      </c>
      <c r="CC13">
        <f t="shared" si="57"/>
        <v>8</v>
      </c>
      <c r="CE13" s="577">
        <f t="shared" si="39"/>
        <v>-50</v>
      </c>
      <c r="CF13">
        <f t="shared" si="40"/>
        <v>-50</v>
      </c>
    </row>
    <row r="14" spans="2:84" x14ac:dyDescent="0.2">
      <c r="E14" s="175">
        <v>9</v>
      </c>
      <c r="F14" s="222">
        <f t="shared" si="58"/>
        <v>7.1999999999999995E-2</v>
      </c>
      <c r="G14" s="222">
        <f t="shared" si="41"/>
        <v>4.4999999999999998E-2</v>
      </c>
      <c r="H14" s="222">
        <f t="shared" si="0"/>
        <v>0.86399999999999988</v>
      </c>
      <c r="I14" s="222">
        <f t="shared" si="59"/>
        <v>0.54</v>
      </c>
      <c r="J14" s="556">
        <f t="shared" si="1"/>
        <v>13.5</v>
      </c>
      <c r="K14" s="452">
        <f t="shared" si="2"/>
        <v>12.25</v>
      </c>
      <c r="L14" s="452">
        <f t="shared" si="3"/>
        <v>25.75</v>
      </c>
      <c r="M14" s="452"/>
      <c r="N14" s="222">
        <f t="shared" si="4"/>
        <v>0.47572815533980584</v>
      </c>
      <c r="O14" s="177">
        <f t="shared" si="42"/>
        <v>7.6969156086631818</v>
      </c>
      <c r="P14" s="177">
        <f t="shared" si="5"/>
        <v>7.8171799150485421</v>
      </c>
      <c r="Q14" s="222">
        <f t="shared" si="6"/>
        <v>0.64140963405526519</v>
      </c>
      <c r="R14" s="222">
        <f t="shared" si="7"/>
        <v>0.64140963405526519</v>
      </c>
      <c r="S14" s="452">
        <f t="shared" si="8"/>
        <v>12</v>
      </c>
      <c r="T14" s="222">
        <f t="shared" si="9"/>
        <v>0.46023630504833507</v>
      </c>
      <c r="U14" s="222">
        <f t="shared" si="10"/>
        <v>0.23864104706209965</v>
      </c>
      <c r="V14" s="222">
        <f t="shared" si="11"/>
        <v>0.26299217431333433</v>
      </c>
      <c r="W14" s="202">
        <f t="shared" si="12"/>
        <v>350</v>
      </c>
      <c r="X14" s="452">
        <f t="shared" si="43"/>
        <v>350</v>
      </c>
      <c r="Z14" s="222">
        <f t="shared" si="13"/>
        <v>2.6213592233009715</v>
      </c>
      <c r="AA14" s="178">
        <f t="shared" si="14"/>
        <v>1.4979195561719838</v>
      </c>
      <c r="AB14" s="178">
        <f t="shared" si="15"/>
        <v>0.68715241775850722</v>
      </c>
      <c r="AC14" s="178"/>
      <c r="AD14" s="178">
        <f t="shared" si="16"/>
        <v>0.46857142857142853</v>
      </c>
      <c r="AE14" s="560">
        <f t="shared" si="17"/>
        <v>374.77691850089235</v>
      </c>
      <c r="AF14" s="543">
        <f t="shared" si="18"/>
        <v>6.723999999999998E-2</v>
      </c>
      <c r="AH14" s="178">
        <f t="shared" si="19"/>
        <v>1.0705710854397252</v>
      </c>
      <c r="AI14" s="178">
        <f t="shared" si="20"/>
        <v>1.0705710854397252</v>
      </c>
      <c r="AJ14" s="178">
        <f t="shared" si="21"/>
        <v>1.3856082114368335</v>
      </c>
      <c r="AL14" s="560">
        <f t="shared" si="22"/>
        <v>72</v>
      </c>
      <c r="AM14" s="470">
        <f t="shared" si="23"/>
        <v>350</v>
      </c>
      <c r="AO14">
        <f t="shared" si="44"/>
        <v>72</v>
      </c>
      <c r="AP14" s="470">
        <f t="shared" si="24"/>
        <v>350</v>
      </c>
      <c r="AQ14" s="470"/>
      <c r="AR14" s="6">
        <f t="shared" si="45"/>
        <v>2.8571428571428572</v>
      </c>
      <c r="AS14" s="6">
        <f t="shared" si="25"/>
        <v>0.5551109331909686</v>
      </c>
      <c r="AT14" s="6">
        <f t="shared" si="46"/>
        <v>2.3020319239518887</v>
      </c>
      <c r="AU14" s="178">
        <f t="shared" si="47"/>
        <v>0.19428882661683899</v>
      </c>
      <c r="AW14" s="6">
        <f>L*Iout^2/(2*Vripple1_spec*Vout*Npri_sec1^2)*1000000000*((1+N14)/(1-N14))^2</f>
        <v>12.324950464868163</v>
      </c>
      <c r="AX14" s="6">
        <f>L*F14^2/(2*Cout*Vout*Nps^2)*1000000000*((1+N14)/(1-N14))^2+F14*RCoutEsr</f>
        <v>0.47089046493301812</v>
      </c>
      <c r="AY14" s="6">
        <f>L*Iout2^2/(2*Vripple2_spec*Vout2*Npri_sec2^2)*1000000000*((1+N14)/(1-N14))^2</f>
        <v>4.8144337753391264</v>
      </c>
      <c r="AZ14" s="6">
        <f>L*G14^2/(2*Cout2*Vout2*Npri_sec2^2)*1000000000*((1+N14)/(1-N14))^2+G14*CoutEsr2</f>
        <v>0.23456658786446022</v>
      </c>
      <c r="BA14" s="6">
        <f>(H14+I14)/Efficiency/J14*AT14/Vinripple1</f>
        <v>0.37335098649668058</v>
      </c>
      <c r="BB14" s="470">
        <f>((BZ14/J14/Efficiency)*AT14/Cin+(BZ14/J14/Efficiency)*RCinEsr)*1000</f>
        <v>25.52961264115752</v>
      </c>
      <c r="BC14" s="6"/>
      <c r="BD14" s="178">
        <f t="shared" si="48"/>
        <v>0.27244497045058647</v>
      </c>
      <c r="BE14" s="178">
        <f t="shared" si="26"/>
        <v>0.55481037697821545</v>
      </c>
      <c r="BF14" s="178">
        <f t="shared" si="27"/>
        <v>0.34675648561138461</v>
      </c>
      <c r="BG14" s="178"/>
      <c r="BH14" s="543">
        <f t="shared" si="28"/>
        <v>8.1648888116203026E-3</v>
      </c>
      <c r="BI14" s="543">
        <f t="shared" si="29"/>
        <v>4.8242609537627622E-2</v>
      </c>
      <c r="BJ14" s="543">
        <f t="shared" si="30"/>
        <v>1.7499999999999998E-2</v>
      </c>
      <c r="BK14" s="543">
        <f t="shared" si="31"/>
        <v>5.2216171874999995E-2</v>
      </c>
      <c r="BL14">
        <f t="shared" si="32"/>
        <v>3.9150000000000001E-3</v>
      </c>
      <c r="BM14" s="470">
        <f t="shared" si="49"/>
        <v>130.03867022424791</v>
      </c>
      <c r="BN14" s="178">
        <f t="shared" si="33"/>
        <v>2.8799999999999999E-2</v>
      </c>
      <c r="BO14" s="178">
        <f t="shared" si="34"/>
        <v>1.7999999999999999E-2</v>
      </c>
      <c r="BP14" s="543"/>
      <c r="BR14" s="470">
        <f t="shared" si="50"/>
        <v>46.8</v>
      </c>
      <c r="BS14" s="543">
        <f t="shared" si="35"/>
        <v>2.9690504769528375E-3</v>
      </c>
      <c r="BT14" s="543">
        <f t="shared" si="51"/>
        <v>1.2312582176108382E-2</v>
      </c>
      <c r="BU14" s="543">
        <f t="shared" si="36"/>
        <v>3.6072018094067512E-3</v>
      </c>
      <c r="BV14" s="543">
        <f t="shared" si="37"/>
        <v>0</v>
      </c>
      <c r="BW14" s="648">
        <f t="shared" si="38"/>
        <v>1.5042857142857139E-2</v>
      </c>
      <c r="BX14" s="470">
        <f t="shared" si="52"/>
        <v>33.931691605325106</v>
      </c>
      <c r="BY14" s="178">
        <f t="shared" si="53"/>
        <v>0.21077036182957301</v>
      </c>
      <c r="BZ14" s="6">
        <f t="shared" si="54"/>
        <v>1.4039999999999999</v>
      </c>
      <c r="CA14" s="178">
        <f t="shared" si="55"/>
        <v>0.86947347634572303</v>
      </c>
      <c r="CB14" s="6">
        <f t="shared" si="56"/>
        <v>86.94734763457231</v>
      </c>
      <c r="CC14">
        <f t="shared" si="57"/>
        <v>8.9999999999999982</v>
      </c>
      <c r="CE14" s="577">
        <f t="shared" si="39"/>
        <v>-50</v>
      </c>
      <c r="CF14">
        <f t="shared" si="40"/>
        <v>-50</v>
      </c>
    </row>
    <row r="15" spans="2:84" x14ac:dyDescent="0.2">
      <c r="E15" s="175">
        <v>10</v>
      </c>
      <c r="F15" s="222">
        <f t="shared" si="58"/>
        <v>8.0000000000000016E-2</v>
      </c>
      <c r="G15" s="222">
        <f t="shared" si="41"/>
        <v>0.05</v>
      </c>
      <c r="H15" s="222">
        <f t="shared" si="0"/>
        <v>0.96000000000000019</v>
      </c>
      <c r="I15" s="222">
        <f t="shared" si="59"/>
        <v>0.60000000000000009</v>
      </c>
      <c r="J15" s="556">
        <f t="shared" si="1"/>
        <v>13.5</v>
      </c>
      <c r="K15" s="452">
        <f t="shared" si="2"/>
        <v>12.25</v>
      </c>
      <c r="L15" s="452">
        <f t="shared" si="3"/>
        <v>25.75</v>
      </c>
      <c r="M15" s="452"/>
      <c r="N15" s="222">
        <f t="shared" si="4"/>
        <v>0.47572815533980584</v>
      </c>
      <c r="O15" s="177">
        <f t="shared" si="42"/>
        <v>7.6969156086631818</v>
      </c>
      <c r="P15" s="177">
        <f t="shared" si="5"/>
        <v>7.8171799150485421</v>
      </c>
      <c r="Q15" s="222">
        <f t="shared" si="6"/>
        <v>0.64140963405526519</v>
      </c>
      <c r="R15" s="222">
        <f t="shared" si="7"/>
        <v>0.64140963405526519</v>
      </c>
      <c r="S15" s="452">
        <f t="shared" si="8"/>
        <v>12</v>
      </c>
      <c r="T15" s="222">
        <f t="shared" si="9"/>
        <v>0.511373672275928</v>
      </c>
      <c r="U15" s="222">
        <f t="shared" si="10"/>
        <v>0.26515671895788856</v>
      </c>
      <c r="V15" s="222">
        <f t="shared" si="11"/>
        <v>0.29221352701481595</v>
      </c>
      <c r="W15" s="202">
        <f t="shared" si="12"/>
        <v>350</v>
      </c>
      <c r="X15" s="452">
        <f t="shared" si="43"/>
        <v>350</v>
      </c>
      <c r="Z15" s="222">
        <f t="shared" si="13"/>
        <v>2.6213592233009715</v>
      </c>
      <c r="AA15" s="178">
        <f t="shared" si="14"/>
        <v>1.4979195561719838</v>
      </c>
      <c r="AB15" s="178">
        <f t="shared" si="15"/>
        <v>0.68715241775850722</v>
      </c>
      <c r="AC15" s="178"/>
      <c r="AD15" s="178">
        <f t="shared" si="16"/>
        <v>0.46857142857142853</v>
      </c>
      <c r="AE15" s="560">
        <f t="shared" si="17"/>
        <v>416.41879833432495</v>
      </c>
      <c r="AF15" s="543">
        <f t="shared" si="18"/>
        <v>6.723999999999998E-2</v>
      </c>
      <c r="AH15" s="178">
        <f t="shared" si="19"/>
        <v>1.1284810090360857</v>
      </c>
      <c r="AI15" s="178">
        <f t="shared" si="20"/>
        <v>1.1284810090360857</v>
      </c>
      <c r="AJ15" s="178">
        <f t="shared" si="21"/>
        <v>1.4285044511378413</v>
      </c>
      <c r="AL15" s="560">
        <f t="shared" si="22"/>
        <v>80.000000000000014</v>
      </c>
      <c r="AM15" s="470">
        <f t="shared" si="23"/>
        <v>350</v>
      </c>
      <c r="AO15">
        <f t="shared" si="44"/>
        <v>80.000000000000014</v>
      </c>
      <c r="AP15" s="470">
        <f t="shared" si="24"/>
        <v>350</v>
      </c>
      <c r="AQ15" s="470"/>
      <c r="AR15" s="6">
        <f t="shared" si="45"/>
        <v>2.8571428571428572</v>
      </c>
      <c r="AS15" s="6">
        <f t="shared" si="25"/>
        <v>0.58513830098167408</v>
      </c>
      <c r="AT15" s="6">
        <f t="shared" si="46"/>
        <v>2.2720045561611832</v>
      </c>
      <c r="AU15" s="178">
        <f t="shared" si="47"/>
        <v>0.20479840534358593</v>
      </c>
      <c r="AW15" s="6">
        <f>L*Iout^2/(2*Vripple1_spec*Vout*Npri_sec1^2)*1000000000*((1+N15)/(1-N15))^2</f>
        <v>12.324950464868163</v>
      </c>
      <c r="AX15" s="6">
        <f>L*F15^2/(2*Cout*Vout*Nps^2)*1000000000*((1+N15)/(1-N15))^2+F15*RCoutEsr</f>
        <v>0.5546795863370596</v>
      </c>
      <c r="AY15" s="6">
        <f>L*Iout2^2/(2*Vripple2_spec*Vout2*Npri_sec2^2)*1000000000*((1+N15)/(1-N15))^2</f>
        <v>4.8144337753391264</v>
      </c>
      <c r="AZ15" s="6">
        <f>L*G15^2/(2*Cout2*Vout2*Npri_sec2^2)*1000000000*((1+N15)/(1-N15))^2+G15*CoutEsr2</f>
        <v>0.27292171341291388</v>
      </c>
      <c r="BA15" s="6">
        <f>(H15+I15)/Efficiency/J15*AT15/Vinripple1</f>
        <v>0.40942338980422455</v>
      </c>
      <c r="BB15" s="470">
        <f>((BZ15/J15/Efficiency)*AT15/Cin+(BZ15/J15/Efficiency)*RCinEsr)*1000</f>
        <v>28.000991092486913</v>
      </c>
      <c r="BC15" s="6"/>
      <c r="BD15" s="178">
        <f t="shared" si="48"/>
        <v>0.29484713545955615</v>
      </c>
      <c r="BE15" s="178">
        <f t="shared" si="26"/>
        <v>0.58099480430522055</v>
      </c>
      <c r="BF15" s="178">
        <f t="shared" si="27"/>
        <v>0.3631217526907628</v>
      </c>
      <c r="BG15" s="178"/>
      <c r="BH15" s="543">
        <f t="shared" si="28"/>
        <v>9.5628316617576443E-3</v>
      </c>
      <c r="BI15" s="543">
        <f t="shared" si="29"/>
        <v>5.0852175469688614E-2</v>
      </c>
      <c r="BJ15" s="543">
        <f t="shared" si="30"/>
        <v>1.7499999999999998E-2</v>
      </c>
      <c r="BK15" s="543">
        <f t="shared" si="31"/>
        <v>5.2216171874999995E-2</v>
      </c>
      <c r="BL15">
        <f t="shared" si="32"/>
        <v>3.9150000000000001E-3</v>
      </c>
      <c r="BM15" s="470">
        <f t="shared" si="49"/>
        <v>134.04617900644624</v>
      </c>
      <c r="BN15" s="178">
        <f t="shared" si="33"/>
        <v>3.2000000000000008E-2</v>
      </c>
      <c r="BO15" s="178">
        <f t="shared" si="34"/>
        <v>2.0000000000000004E-2</v>
      </c>
      <c r="BP15" s="543"/>
      <c r="BR15" s="470">
        <f t="shared" si="50"/>
        <v>52.000000000000014</v>
      </c>
      <c r="BS15" s="543">
        <f t="shared" si="35"/>
        <v>3.4773933315482342E-3</v>
      </c>
      <c r="BT15" s="543">
        <f t="shared" si="51"/>
        <v>1.350219850518646E-2</v>
      </c>
      <c r="BU15" s="543">
        <f t="shared" si="36"/>
        <v>3.9557222183163451E-3</v>
      </c>
      <c r="BV15" s="543">
        <f t="shared" si="37"/>
        <v>0</v>
      </c>
      <c r="BW15" s="648">
        <f t="shared" si="38"/>
        <v>1.671428571428572E-2</v>
      </c>
      <c r="BX15" s="470">
        <f t="shared" si="52"/>
        <v>37.64959976933676</v>
      </c>
      <c r="BY15" s="178">
        <f t="shared" si="53"/>
        <v>0.22369577877578301</v>
      </c>
      <c r="BZ15" s="6">
        <f t="shared" si="54"/>
        <v>1.5600000000000003</v>
      </c>
      <c r="CA15" s="178">
        <f t="shared" si="55"/>
        <v>0.87458860337197541</v>
      </c>
      <c r="CB15" s="6">
        <f t="shared" si="56"/>
        <v>87.458860337197535</v>
      </c>
      <c r="CC15">
        <f t="shared" si="57"/>
        <v>10.000000000000002</v>
      </c>
      <c r="CE15" s="577">
        <f t="shared" si="39"/>
        <v>-50</v>
      </c>
      <c r="CF15">
        <f t="shared" si="40"/>
        <v>-50</v>
      </c>
    </row>
    <row r="16" spans="2:84" x14ac:dyDescent="0.2">
      <c r="E16" s="175">
        <v>11</v>
      </c>
      <c r="F16" s="222">
        <f t="shared" si="58"/>
        <v>8.8000000000000009E-2</v>
      </c>
      <c r="G16" s="222">
        <f t="shared" si="41"/>
        <v>5.5E-2</v>
      </c>
      <c r="H16" s="222">
        <f t="shared" si="0"/>
        <v>1.056</v>
      </c>
      <c r="I16" s="222">
        <f t="shared" si="59"/>
        <v>0.66</v>
      </c>
      <c r="J16" s="556">
        <f t="shared" si="1"/>
        <v>13.5</v>
      </c>
      <c r="K16" s="452">
        <f t="shared" si="2"/>
        <v>12.25</v>
      </c>
      <c r="L16" s="452">
        <f t="shared" si="3"/>
        <v>25.75</v>
      </c>
      <c r="M16" s="452"/>
      <c r="N16" s="222">
        <f t="shared" si="4"/>
        <v>0.47572815533980584</v>
      </c>
      <c r="O16" s="177">
        <f t="shared" si="42"/>
        <v>7.6969156086631818</v>
      </c>
      <c r="P16" s="177">
        <f t="shared" si="5"/>
        <v>7.8171799150485421</v>
      </c>
      <c r="Q16" s="222">
        <f t="shared" si="6"/>
        <v>0.64140963405526519</v>
      </c>
      <c r="R16" s="222">
        <f t="shared" si="7"/>
        <v>0.64140963405526519</v>
      </c>
      <c r="S16" s="452">
        <f t="shared" si="8"/>
        <v>12</v>
      </c>
      <c r="T16" s="222">
        <f t="shared" si="9"/>
        <v>0.56251103950352077</v>
      </c>
      <c r="U16" s="222">
        <f t="shared" si="10"/>
        <v>0.29167239085367741</v>
      </c>
      <c r="V16" s="222">
        <f t="shared" si="11"/>
        <v>0.32143487971629753</v>
      </c>
      <c r="W16" s="202">
        <f t="shared" si="12"/>
        <v>350</v>
      </c>
      <c r="X16" s="452">
        <f t="shared" si="43"/>
        <v>350</v>
      </c>
      <c r="Z16" s="222">
        <f t="shared" si="13"/>
        <v>2.6213592233009715</v>
      </c>
      <c r="AA16" s="178">
        <f t="shared" si="14"/>
        <v>1.4979195561719838</v>
      </c>
      <c r="AB16" s="178">
        <f t="shared" si="15"/>
        <v>0.68715241775850722</v>
      </c>
      <c r="AC16" s="178"/>
      <c r="AD16" s="178">
        <f t="shared" si="16"/>
        <v>0.46857142857142853</v>
      </c>
      <c r="AE16" s="560">
        <f t="shared" si="17"/>
        <v>458.06067816775737</v>
      </c>
      <c r="AF16" s="543">
        <f t="shared" si="18"/>
        <v>6.723999999999998E-2</v>
      </c>
      <c r="AH16" s="178">
        <f t="shared" si="19"/>
        <v>1.1835608672690274</v>
      </c>
      <c r="AI16" s="178">
        <f t="shared" si="20"/>
        <v>1.1835608672690274</v>
      </c>
      <c r="AJ16" s="178">
        <f t="shared" si="21"/>
        <v>1.4693043461252056</v>
      </c>
      <c r="AL16" s="560">
        <f t="shared" si="22"/>
        <v>88.000000000000014</v>
      </c>
      <c r="AM16" s="470">
        <f t="shared" si="23"/>
        <v>350</v>
      </c>
      <c r="AO16">
        <f t="shared" si="44"/>
        <v>88.000000000000014</v>
      </c>
      <c r="AP16" s="470">
        <f t="shared" si="24"/>
        <v>350</v>
      </c>
      <c r="AQ16" s="470"/>
      <c r="AR16" s="6">
        <f t="shared" si="45"/>
        <v>2.8571428571428572</v>
      </c>
      <c r="AS16" s="6">
        <f t="shared" si="25"/>
        <v>0.61369822747282898</v>
      </c>
      <c r="AT16" s="6">
        <f t="shared" si="46"/>
        <v>2.2434446296700283</v>
      </c>
      <c r="AU16" s="178">
        <f t="shared" si="47"/>
        <v>0.21479437961549014</v>
      </c>
      <c r="AW16" s="6">
        <f>L*Iout^2/(2*Vripple1_spec*Vout*Npri_sec1^2)*1000000000*((1+N16)/(1-N16))^2</f>
        <v>12.324950464868163</v>
      </c>
      <c r="AX16" s="6">
        <f>L*F16^2/(2*Cout*Vout*Nps^2)*1000000000*((1+N16)/(1-N16))^2+F16*RCoutEsr</f>
        <v>0.64476229946784203</v>
      </c>
      <c r="AY16" s="6">
        <f>L*Iout2^2/(2*Vripple2_spec*Vout2*Npri_sec2^2)*1000000000*((1+N16)/(1-N16))^2</f>
        <v>4.8144337753391264</v>
      </c>
      <c r="AZ16" s="6">
        <f>L*G16^2/(2*Cout2*Vout2*Npri_sec2^2)*1000000000*((1+N16)/(1-N16))^2+G16*CoutEsr2</f>
        <v>0.3137352732296258</v>
      </c>
      <c r="BA16" s="6">
        <f>(H16+I16)/Efficiency/J16*AT16/Vinripple1</f>
        <v>0.44470446720251472</v>
      </c>
      <c r="BB16" s="470">
        <f>((BZ16/J16/Efficiency)*AT16/Cin+(BZ16/J16/Efficiency)*RCinEsr)*1000</f>
        <v>30.418955044941669</v>
      </c>
      <c r="BC16" s="6"/>
      <c r="BD16" s="178">
        <f t="shared" si="48"/>
        <v>0.31669516037371159</v>
      </c>
      <c r="BE16" s="178">
        <f t="shared" si="26"/>
        <v>0.60551048785803308</v>
      </c>
      <c r="BF16" s="178">
        <f t="shared" si="27"/>
        <v>0.37844405491127059</v>
      </c>
      <c r="BG16" s="178"/>
      <c r="BH16" s="543">
        <f t="shared" si="28"/>
        <v>1.1032540706454399E-2</v>
      </c>
      <c r="BI16" s="543">
        <f t="shared" si="29"/>
        <v>5.3334211581310548E-2</v>
      </c>
      <c r="BJ16" s="543">
        <f t="shared" si="30"/>
        <v>1.7499999999999998E-2</v>
      </c>
      <c r="BK16" s="543">
        <f t="shared" si="31"/>
        <v>5.2216171874999995E-2</v>
      </c>
      <c r="BL16">
        <f t="shared" si="32"/>
        <v>3.9150000000000001E-3</v>
      </c>
      <c r="BM16" s="470">
        <f t="shared" si="49"/>
        <v>137.99792416276497</v>
      </c>
      <c r="BN16" s="178">
        <f t="shared" si="33"/>
        <v>3.5200000000000002E-2</v>
      </c>
      <c r="BO16" s="178">
        <f t="shared" si="34"/>
        <v>2.2000000000000002E-2</v>
      </c>
      <c r="BP16" s="543"/>
      <c r="BR16" s="470">
        <f t="shared" si="50"/>
        <v>57.2</v>
      </c>
      <c r="BS16" s="543">
        <f t="shared" si="35"/>
        <v>4.0118329841652362E-3</v>
      </c>
      <c r="BT16" s="543">
        <f t="shared" si="51"/>
        <v>1.466571803624293E-2</v>
      </c>
      <c r="BU16" s="543">
        <f t="shared" si="36"/>
        <v>4.2965970809305436E-3</v>
      </c>
      <c r="BV16" s="543">
        <f t="shared" si="37"/>
        <v>0</v>
      </c>
      <c r="BW16" s="648">
        <f t="shared" si="38"/>
        <v>1.838571428571429E-2</v>
      </c>
      <c r="BX16" s="470">
        <f t="shared" si="52"/>
        <v>41.359862387052999</v>
      </c>
      <c r="BY16" s="178">
        <f t="shared" si="53"/>
        <v>0.23655778654981796</v>
      </c>
      <c r="BZ16" s="6">
        <f t="shared" si="54"/>
        <v>1.7160000000000002</v>
      </c>
      <c r="CA16" s="178">
        <f t="shared" si="55"/>
        <v>0.87884722891207379</v>
      </c>
      <c r="CB16" s="6">
        <f t="shared" si="56"/>
        <v>87.884722891207375</v>
      </c>
      <c r="CC16">
        <f t="shared" si="57"/>
        <v>11</v>
      </c>
      <c r="CE16" s="577">
        <f t="shared" si="39"/>
        <v>-50</v>
      </c>
      <c r="CF16">
        <f t="shared" si="40"/>
        <v>-50</v>
      </c>
    </row>
    <row r="17" spans="5:84" x14ac:dyDescent="0.2">
      <c r="E17" s="175">
        <v>12</v>
      </c>
      <c r="F17" s="222">
        <f t="shared" si="58"/>
        <v>9.6000000000000002E-2</v>
      </c>
      <c r="G17" s="222">
        <f t="shared" si="41"/>
        <v>0.06</v>
      </c>
      <c r="H17" s="222">
        <f t="shared" si="0"/>
        <v>1.1520000000000001</v>
      </c>
      <c r="I17" s="222">
        <f t="shared" si="59"/>
        <v>0.72</v>
      </c>
      <c r="J17" s="556">
        <f t="shared" si="1"/>
        <v>13.5</v>
      </c>
      <c r="K17" s="452">
        <f t="shared" si="2"/>
        <v>12.25</v>
      </c>
      <c r="L17" s="452">
        <f t="shared" si="3"/>
        <v>25.75</v>
      </c>
      <c r="M17" s="452"/>
      <c r="N17" s="222">
        <f t="shared" si="4"/>
        <v>0.47572815533980584</v>
      </c>
      <c r="O17" s="177">
        <f t="shared" si="42"/>
        <v>7.6969156086631818</v>
      </c>
      <c r="P17" s="177">
        <f t="shared" si="5"/>
        <v>7.8171799150485421</v>
      </c>
      <c r="Q17" s="222">
        <f t="shared" si="6"/>
        <v>0.64140963405526519</v>
      </c>
      <c r="R17" s="222">
        <f t="shared" si="7"/>
        <v>0.64140963405526519</v>
      </c>
      <c r="S17" s="452">
        <f t="shared" si="8"/>
        <v>12</v>
      </c>
      <c r="T17" s="222">
        <f t="shared" si="9"/>
        <v>0.61364840673111354</v>
      </c>
      <c r="U17" s="222">
        <f t="shared" si="10"/>
        <v>0.31818806274946626</v>
      </c>
      <c r="V17" s="222">
        <f t="shared" si="11"/>
        <v>0.35065623241777916</v>
      </c>
      <c r="W17" s="202">
        <f t="shared" si="12"/>
        <v>350</v>
      </c>
      <c r="X17" s="452">
        <f t="shared" si="43"/>
        <v>350</v>
      </c>
      <c r="Z17" s="222">
        <f t="shared" si="13"/>
        <v>2.6213592233009715</v>
      </c>
      <c r="AA17" s="178">
        <f t="shared" si="14"/>
        <v>1.4979195561719838</v>
      </c>
      <c r="AB17" s="178">
        <f t="shared" si="15"/>
        <v>0.68715241775850722</v>
      </c>
      <c r="AC17" s="178"/>
      <c r="AD17" s="178">
        <f t="shared" si="16"/>
        <v>0.46857142857142853</v>
      </c>
      <c r="AE17" s="560">
        <f t="shared" si="17"/>
        <v>499.70255800118991</v>
      </c>
      <c r="AF17" s="543">
        <f t="shared" si="18"/>
        <v>6.723999999999998E-2</v>
      </c>
      <c r="AH17" s="178">
        <f t="shared" si="19"/>
        <v>1.2361890087305105</v>
      </c>
      <c r="AI17" s="178">
        <f t="shared" si="20"/>
        <v>1.2361890087305105</v>
      </c>
      <c r="AJ17" s="178">
        <f t="shared" si="21"/>
        <v>1.5082881546151929</v>
      </c>
      <c r="AL17" s="560">
        <f t="shared" si="22"/>
        <v>96</v>
      </c>
      <c r="AM17" s="470">
        <f t="shared" si="23"/>
        <v>350</v>
      </c>
      <c r="AO17">
        <f t="shared" si="44"/>
        <v>96</v>
      </c>
      <c r="AP17" s="470">
        <f t="shared" si="24"/>
        <v>350</v>
      </c>
      <c r="AQ17" s="470"/>
      <c r="AR17" s="6">
        <f t="shared" si="45"/>
        <v>2.8571428571428572</v>
      </c>
      <c r="AS17" s="6">
        <f t="shared" si="25"/>
        <v>0.64098689341582016</v>
      </c>
      <c r="AT17" s="6">
        <f t="shared" si="46"/>
        <v>2.2161559637270369</v>
      </c>
      <c r="AU17" s="178">
        <f t="shared" si="47"/>
        <v>0.22434541269553704</v>
      </c>
      <c r="AW17" s="6">
        <f>L*Iout^2/(2*Vripple1_spec*Vout*Npri_sec1^2)*1000000000*((1+N17)/(1-N17))^2</f>
        <v>12.324950464868163</v>
      </c>
      <c r="AX17" s="6">
        <f>L*F17^2/(2*Cout*Vout*Nps^2)*1000000000*((1+N17)/(1-N17))^2+F17*RCoutEsr</f>
        <v>0.7411386043253656</v>
      </c>
      <c r="AY17" s="6">
        <f>L*Iout2^2/(2*Vripple2_spec*Vout2*Npri_sec2^2)*1000000000*((1+N17)/(1-N17))^2</f>
        <v>4.8144337753391264</v>
      </c>
      <c r="AZ17" s="6">
        <f>L*G17^2/(2*Cout2*Vout2*Npri_sec2^2)*1000000000*((1+N17)/(1-N17))^2+G17*CoutEsr2</f>
        <v>0.35700726731459592</v>
      </c>
      <c r="BA17" s="6">
        <f>(H17+I17)/Efficiency/J17*AT17/Vinripple1</f>
        <v>0.47923112717892002</v>
      </c>
      <c r="BB17" s="470">
        <f>((BZ17/J17/Efficiency)*AT17/Cin+(BZ17/J17/Efficiency)*RCinEsr)*1000</f>
        <v>32.785995821419206</v>
      </c>
      <c r="BC17" s="6"/>
      <c r="BD17" s="178">
        <f t="shared" si="48"/>
        <v>0.33805148445232491</v>
      </c>
      <c r="BE17" s="178">
        <f t="shared" si="26"/>
        <v>0.62857692366298357</v>
      </c>
      <c r="BF17" s="178">
        <f t="shared" si="27"/>
        <v>0.39286057728936463</v>
      </c>
      <c r="BG17" s="178"/>
      <c r="BH17" s="543">
        <f t="shared" si="28"/>
        <v>1.2570668675446253E-2</v>
      </c>
      <c r="BI17" s="543">
        <f t="shared" si="29"/>
        <v>5.5705767205918626E-2</v>
      </c>
      <c r="BJ17" s="543">
        <f t="shared" si="30"/>
        <v>1.7499999999999998E-2</v>
      </c>
      <c r="BK17" s="543">
        <f t="shared" si="31"/>
        <v>5.2216171874999995E-2</v>
      </c>
      <c r="BL17">
        <f t="shared" si="32"/>
        <v>3.9150000000000001E-3</v>
      </c>
      <c r="BM17" s="470">
        <f t="shared" si="49"/>
        <v>141.90760775636488</v>
      </c>
      <c r="BN17" s="178">
        <f t="shared" si="33"/>
        <v>3.8400000000000004E-2</v>
      </c>
      <c r="BO17" s="178">
        <f t="shared" si="34"/>
        <v>2.4E-2</v>
      </c>
      <c r="BP17" s="543"/>
      <c r="BR17" s="470">
        <f t="shared" si="50"/>
        <v>62.400000000000006</v>
      </c>
      <c r="BS17" s="543">
        <f t="shared" si="35"/>
        <v>4.5711522456168196E-3</v>
      </c>
      <c r="BT17" s="543">
        <f t="shared" si="51"/>
        <v>1.5804357958464809E-2</v>
      </c>
      <c r="BU17" s="543">
        <f t="shared" si="36"/>
        <v>4.6301829956439848E-3</v>
      </c>
      <c r="BV17" s="543">
        <f t="shared" si="37"/>
        <v>0</v>
      </c>
      <c r="BW17" s="648">
        <f t="shared" si="38"/>
        <v>2.0057142857142853E-2</v>
      </c>
      <c r="BX17" s="470">
        <f t="shared" si="52"/>
        <v>45.062836056868463</v>
      </c>
      <c r="BY17" s="178">
        <f t="shared" si="53"/>
        <v>0.24937044381323337</v>
      </c>
      <c r="BZ17" s="6">
        <f t="shared" si="54"/>
        <v>1.8720000000000001</v>
      </c>
      <c r="CA17" s="178">
        <f t="shared" si="55"/>
        <v>0.88244842170753457</v>
      </c>
      <c r="CB17" s="6">
        <f t="shared" si="56"/>
        <v>88.244842170753458</v>
      </c>
      <c r="CC17">
        <f t="shared" si="57"/>
        <v>12</v>
      </c>
      <c r="CE17" s="577">
        <f t="shared" si="39"/>
        <v>-50</v>
      </c>
      <c r="CF17">
        <f t="shared" si="40"/>
        <v>-50</v>
      </c>
    </row>
    <row r="18" spans="5:84" x14ac:dyDescent="0.2">
      <c r="E18" s="175">
        <v>13</v>
      </c>
      <c r="F18" s="222">
        <f t="shared" si="58"/>
        <v>0.10400000000000001</v>
      </c>
      <c r="G18" s="222">
        <f t="shared" si="41"/>
        <v>6.5000000000000002E-2</v>
      </c>
      <c r="H18" s="222">
        <f t="shared" si="0"/>
        <v>1.2480000000000002</v>
      </c>
      <c r="I18" s="222">
        <f t="shared" si="59"/>
        <v>0.78</v>
      </c>
      <c r="J18" s="556">
        <f t="shared" si="1"/>
        <v>13.5</v>
      </c>
      <c r="K18" s="452">
        <f t="shared" si="2"/>
        <v>12.25</v>
      </c>
      <c r="L18" s="452">
        <f t="shared" si="3"/>
        <v>25.75</v>
      </c>
      <c r="M18" s="452"/>
      <c r="N18" s="222">
        <f t="shared" si="4"/>
        <v>0.47572815533980584</v>
      </c>
      <c r="O18" s="177">
        <f t="shared" si="42"/>
        <v>7.6969156086631818</v>
      </c>
      <c r="P18" s="177">
        <f t="shared" si="5"/>
        <v>7.8171799150485421</v>
      </c>
      <c r="Q18" s="222">
        <f t="shared" si="6"/>
        <v>0.64140963405526519</v>
      </c>
      <c r="R18" s="222">
        <f t="shared" si="7"/>
        <v>0.64140963405526519</v>
      </c>
      <c r="S18" s="452">
        <f t="shared" si="8"/>
        <v>12</v>
      </c>
      <c r="T18" s="222">
        <f t="shared" si="9"/>
        <v>0.66478577395870642</v>
      </c>
      <c r="U18" s="222">
        <f t="shared" si="10"/>
        <v>0.34470373464525522</v>
      </c>
      <c r="V18" s="222">
        <f t="shared" si="11"/>
        <v>0.37987758511926084</v>
      </c>
      <c r="W18" s="202">
        <f t="shared" si="12"/>
        <v>350</v>
      </c>
      <c r="X18" s="452">
        <f t="shared" si="43"/>
        <v>350</v>
      </c>
      <c r="Z18" s="222">
        <f t="shared" si="13"/>
        <v>2.6213592233009715</v>
      </c>
      <c r="AA18" s="178">
        <f t="shared" si="14"/>
        <v>1.4979195561719838</v>
      </c>
      <c r="AB18" s="178">
        <f t="shared" si="15"/>
        <v>0.68715241775850722</v>
      </c>
      <c r="AC18" s="178"/>
      <c r="AD18" s="178">
        <f t="shared" si="16"/>
        <v>0.46857142857142853</v>
      </c>
      <c r="AE18" s="560">
        <f t="shared" si="17"/>
        <v>541.34443783462245</v>
      </c>
      <c r="AF18" s="543">
        <f t="shared" si="18"/>
        <v>6.723999999999998E-2</v>
      </c>
      <c r="AH18" s="178">
        <f t="shared" si="19"/>
        <v>1.2866663141940233</v>
      </c>
      <c r="AI18" s="178">
        <f t="shared" si="20"/>
        <v>1.2866663141940233</v>
      </c>
      <c r="AJ18" s="178">
        <f t="shared" si="21"/>
        <v>1.545678751254832</v>
      </c>
      <c r="AL18" s="560">
        <f t="shared" si="22"/>
        <v>104.00000000000001</v>
      </c>
      <c r="AM18" s="470">
        <f t="shared" si="23"/>
        <v>350</v>
      </c>
      <c r="AO18">
        <f t="shared" si="44"/>
        <v>104.00000000000001</v>
      </c>
      <c r="AP18" s="470">
        <f t="shared" si="24"/>
        <v>350</v>
      </c>
      <c r="AQ18" s="470"/>
      <c r="AR18" s="6">
        <f t="shared" si="45"/>
        <v>2.8571428571428572</v>
      </c>
      <c r="AS18" s="6">
        <f t="shared" si="25"/>
        <v>0.66716031106356766</v>
      </c>
      <c r="AT18" s="6">
        <f t="shared" si="46"/>
        <v>2.1899825460792894</v>
      </c>
      <c r="AU18" s="178">
        <f t="shared" si="47"/>
        <v>0.23350610887224868</v>
      </c>
      <c r="AW18" s="6">
        <f>L*Iout^2/(2*Vripple1_spec*Vout*Npri_sec1^2)*1000000000*((1+N18)/(1-N18))^2</f>
        <v>12.324950464868163</v>
      </c>
      <c r="AX18" s="6">
        <f>L*F18^2/(2*Cout*Vout*Nps^2)*1000000000*((1+N18)/(1-N18))^2+F18*RCoutEsr</f>
        <v>0.84380850090963055</v>
      </c>
      <c r="AY18" s="6">
        <f>L*Iout2^2/(2*Vripple2_spec*Vout2*Npri_sec2^2)*1000000000*((1+N18)/(1-N18))^2</f>
        <v>4.8144337753391264</v>
      </c>
      <c r="AZ18" s="6">
        <f>L*G18^2/(2*Cout2*Vout2*Npri_sec2^2)*1000000000*((1+N18)/(1-N18))^2+G18*CoutEsr2</f>
        <v>0.40273769566782441</v>
      </c>
      <c r="BA18" s="6">
        <f>(H18+I18)/Efficiency/J18*AT18/Vinripple1</f>
        <v>0.51303554729030976</v>
      </c>
      <c r="BB18" s="470">
        <f>((BZ18/J18/Efficiency)*AT18/Cin+(BZ18/J18/Efficiency)*RCinEsr)*1000</f>
        <v>35.104285407008192</v>
      </c>
      <c r="BC18" s="6"/>
      <c r="BD18" s="178">
        <f t="shared" si="48"/>
        <v>0.35896691860272417</v>
      </c>
      <c r="BE18" s="178">
        <f t="shared" si="26"/>
        <v>0.65036873083101321</v>
      </c>
      <c r="BF18" s="178">
        <f t="shared" si="27"/>
        <v>0.40648045676938316</v>
      </c>
      <c r="BG18" s="178"/>
      <c r="BH18" s="543">
        <f t="shared" si="28"/>
        <v>1.4174297351624827E-2</v>
      </c>
      <c r="BI18" s="543">
        <f t="shared" si="29"/>
        <v>5.7980400783368191E-2</v>
      </c>
      <c r="BJ18" s="543">
        <f t="shared" si="30"/>
        <v>1.7499999999999998E-2</v>
      </c>
      <c r="BK18" s="543">
        <f t="shared" si="31"/>
        <v>5.2216171874999995E-2</v>
      </c>
      <c r="BL18">
        <f t="shared" si="32"/>
        <v>3.9150000000000001E-3</v>
      </c>
      <c r="BM18" s="470">
        <f t="shared" si="49"/>
        <v>145.785870009993</v>
      </c>
      <c r="BN18" s="178">
        <f t="shared" si="33"/>
        <v>4.1600000000000005E-2</v>
      </c>
      <c r="BO18" s="178">
        <f t="shared" si="34"/>
        <v>2.6000000000000002E-2</v>
      </c>
      <c r="BP18" s="543"/>
      <c r="BR18" s="470">
        <f t="shared" si="50"/>
        <v>67.600000000000009</v>
      </c>
      <c r="BS18" s="543">
        <f t="shared" si="35"/>
        <v>5.1542899460453916E-3</v>
      </c>
      <c r="BT18" s="543">
        <f t="shared" si="51"/>
        <v>1.6919179441709717E-2</v>
      </c>
      <c r="BU18" s="543">
        <f t="shared" si="36"/>
        <v>4.9567908520633903E-3</v>
      </c>
      <c r="BV18" s="543">
        <f t="shared" si="37"/>
        <v>0</v>
      </c>
      <c r="BW18" s="648">
        <f t="shared" si="38"/>
        <v>2.1728571428571437E-2</v>
      </c>
      <c r="BX18" s="470">
        <f t="shared" si="52"/>
        <v>48.758831668389938</v>
      </c>
      <c r="BY18" s="178">
        <f t="shared" si="53"/>
        <v>0.26214470167838294</v>
      </c>
      <c r="BZ18" s="6">
        <f t="shared" si="54"/>
        <v>2.0280000000000005</v>
      </c>
      <c r="CA18" s="178">
        <f t="shared" si="55"/>
        <v>0.88553356410786421</v>
      </c>
      <c r="CB18" s="6">
        <f t="shared" si="56"/>
        <v>88.553356410786421</v>
      </c>
      <c r="CC18">
        <f t="shared" si="57"/>
        <v>13</v>
      </c>
      <c r="CE18" s="577">
        <f t="shared" si="39"/>
        <v>-50</v>
      </c>
      <c r="CF18">
        <f t="shared" si="40"/>
        <v>-50</v>
      </c>
    </row>
    <row r="19" spans="5:84" x14ac:dyDescent="0.2">
      <c r="E19" s="175">
        <v>14</v>
      </c>
      <c r="F19" s="222">
        <f t="shared" si="58"/>
        <v>0.11200000000000002</v>
      </c>
      <c r="G19" s="222">
        <f t="shared" si="41"/>
        <v>7.0000000000000007E-2</v>
      </c>
      <c r="H19" s="222">
        <f t="shared" si="0"/>
        <v>1.3440000000000003</v>
      </c>
      <c r="I19" s="222">
        <f t="shared" si="59"/>
        <v>0.84000000000000008</v>
      </c>
      <c r="J19" s="556">
        <f t="shared" si="1"/>
        <v>13.5</v>
      </c>
      <c r="K19" s="452">
        <f t="shared" si="2"/>
        <v>12.25</v>
      </c>
      <c r="L19" s="452">
        <f t="shared" si="3"/>
        <v>25.75</v>
      </c>
      <c r="M19" s="452"/>
      <c r="N19" s="222">
        <f t="shared" si="4"/>
        <v>0.47572815533980584</v>
      </c>
      <c r="O19" s="177">
        <f t="shared" si="42"/>
        <v>7.6969156086631818</v>
      </c>
      <c r="P19" s="177">
        <f t="shared" si="5"/>
        <v>7.8171799150485421</v>
      </c>
      <c r="Q19" s="222">
        <f t="shared" si="6"/>
        <v>0.64140963405526519</v>
      </c>
      <c r="R19" s="222">
        <f t="shared" si="7"/>
        <v>0.64140963405526519</v>
      </c>
      <c r="S19" s="452">
        <f t="shared" si="8"/>
        <v>12</v>
      </c>
      <c r="T19" s="222">
        <f t="shared" si="9"/>
        <v>0.71592314118629918</v>
      </c>
      <c r="U19" s="222">
        <f t="shared" si="10"/>
        <v>0.37121940654104402</v>
      </c>
      <c r="V19" s="222">
        <f t="shared" si="11"/>
        <v>0.40909893782074236</v>
      </c>
      <c r="W19" s="202">
        <f t="shared" si="12"/>
        <v>350</v>
      </c>
      <c r="X19" s="452">
        <f t="shared" si="43"/>
        <v>350</v>
      </c>
      <c r="Z19" s="222">
        <f t="shared" si="13"/>
        <v>2.6213592233009715</v>
      </c>
      <c r="AA19" s="178">
        <f t="shared" si="14"/>
        <v>1.4979195561719838</v>
      </c>
      <c r="AB19" s="178">
        <f t="shared" si="15"/>
        <v>0.68715241775850722</v>
      </c>
      <c r="AC19" s="178"/>
      <c r="AD19" s="178">
        <f t="shared" si="16"/>
        <v>0.46857142857142853</v>
      </c>
      <c r="AE19" s="560">
        <f t="shared" si="17"/>
        <v>582.98631766805499</v>
      </c>
      <c r="AF19" s="543">
        <f t="shared" si="18"/>
        <v>6.723999999999998E-2</v>
      </c>
      <c r="AH19" s="178">
        <f t="shared" si="19"/>
        <v>1.3352367366340483</v>
      </c>
      <c r="AI19" s="178">
        <f t="shared" si="20"/>
        <v>1.3352367366340483</v>
      </c>
      <c r="AJ19" s="178">
        <f t="shared" si="21"/>
        <v>1.5816568419511468</v>
      </c>
      <c r="AL19" s="560">
        <f t="shared" si="22"/>
        <v>112.00000000000001</v>
      </c>
      <c r="AM19" s="470">
        <f t="shared" si="23"/>
        <v>350</v>
      </c>
      <c r="AO19">
        <f t="shared" si="44"/>
        <v>112.00000000000001</v>
      </c>
      <c r="AP19" s="470">
        <f t="shared" si="24"/>
        <v>350</v>
      </c>
      <c r="AQ19" s="470"/>
      <c r="AR19" s="6">
        <f t="shared" si="45"/>
        <v>2.8571428571428572</v>
      </c>
      <c r="AS19" s="6">
        <f t="shared" si="25"/>
        <v>0.69234497455098798</v>
      </c>
      <c r="AT19" s="6">
        <f t="shared" si="46"/>
        <v>2.164797882591869</v>
      </c>
      <c r="AU19" s="178">
        <f t="shared" si="47"/>
        <v>0.24232074109284579</v>
      </c>
      <c r="AW19" s="6">
        <f>L*Iout^2/(2*Vripple1_spec*Vout*Npri_sec1^2)*1000000000*((1+N19)/(1-N19))^2</f>
        <v>12.324950464868163</v>
      </c>
      <c r="AX19" s="6">
        <f>L*F19^2/(2*Cout*Vout*Nps^2)*1000000000*((1+N19)/(1-N19))^2+F19*RCoutEsr</f>
        <v>0.95277198922063677</v>
      </c>
      <c r="AY19" s="6">
        <f>L*Iout2^2/(2*Vripple2_spec*Vout2*Npri_sec2^2)*1000000000*((1+N19)/(1-N19))^2</f>
        <v>4.8144337753391264</v>
      </c>
      <c r="AZ19" s="6">
        <f>L*G19^2/(2*Cout2*Vout2*Npri_sec2^2)*1000000000*((1+N19)/(1-N19))^2+G19*CoutEsr2</f>
        <v>0.45092655828931116</v>
      </c>
      <c r="BA19" s="6">
        <f>(H19+I19)/Efficiency/J19*AT19/Vinripple1</f>
        <v>0.54614610648538209</v>
      </c>
      <c r="BB19" s="470">
        <f>((BZ19/J19/Efficiency)*AT19/Cin+(BZ19/J19/Efficiency)*RCinEsr)*1000</f>
        <v>37.375739380745749</v>
      </c>
      <c r="BC19" s="6"/>
      <c r="BD19" s="178">
        <f t="shared" si="48"/>
        <v>0.37948353680575592</v>
      </c>
      <c r="BE19" s="178">
        <f t="shared" si="26"/>
        <v>0.67102754010480725</v>
      </c>
      <c r="BF19" s="178">
        <f t="shared" si="27"/>
        <v>0.41939221256550446</v>
      </c>
      <c r="BG19" s="178"/>
      <c r="BH19" s="543">
        <f t="shared" si="28"/>
        <v>1.5840853017726607E-2</v>
      </c>
      <c r="BI19" s="543">
        <f t="shared" si="29"/>
        <v>6.0169105444571803E-2</v>
      </c>
      <c r="BJ19" s="543">
        <f t="shared" si="30"/>
        <v>1.7499999999999998E-2</v>
      </c>
      <c r="BK19" s="543">
        <f t="shared" si="31"/>
        <v>5.2216171874999995E-2</v>
      </c>
      <c r="BL19">
        <f t="shared" si="32"/>
        <v>3.9150000000000001E-3</v>
      </c>
      <c r="BM19" s="470">
        <f t="shared" si="49"/>
        <v>149.64113033729842</v>
      </c>
      <c r="BN19" s="178">
        <f t="shared" si="33"/>
        <v>4.4800000000000006E-2</v>
      </c>
      <c r="BO19" s="178">
        <f t="shared" si="34"/>
        <v>2.8000000000000004E-2</v>
      </c>
      <c r="BP19" s="543"/>
      <c r="BR19" s="470">
        <f t="shared" si="50"/>
        <v>72.8</v>
      </c>
      <c r="BS19" s="543">
        <f t="shared" si="35"/>
        <v>5.7603101882642204E-3</v>
      </c>
      <c r="BT19" s="543">
        <f t="shared" si="51"/>
        <v>1.8011118383164351E-2</v>
      </c>
      <c r="BU19" s="543">
        <f t="shared" si="36"/>
        <v>5.2766948388176778E-3</v>
      </c>
      <c r="BV19" s="543">
        <f t="shared" si="37"/>
        <v>0</v>
      </c>
      <c r="BW19" s="648">
        <f t="shared" si="38"/>
        <v>2.3400000000000004E-2</v>
      </c>
      <c r="BX19" s="470">
        <f t="shared" si="52"/>
        <v>52.448123410246254</v>
      </c>
      <c r="BY19" s="178">
        <f t="shared" si="53"/>
        <v>0.27488925374754469</v>
      </c>
      <c r="BZ19" s="6">
        <f t="shared" si="54"/>
        <v>2.1840000000000002</v>
      </c>
      <c r="CA19" s="178">
        <f t="shared" si="55"/>
        <v>0.88820592333363879</v>
      </c>
      <c r="CB19" s="6">
        <f t="shared" si="56"/>
        <v>88.820592333363876</v>
      </c>
      <c r="CC19">
        <f t="shared" si="57"/>
        <v>14.000000000000002</v>
      </c>
      <c r="CE19" s="577">
        <f t="shared" si="39"/>
        <v>-50</v>
      </c>
      <c r="CF19">
        <f t="shared" si="40"/>
        <v>-50</v>
      </c>
    </row>
    <row r="20" spans="5:84" x14ac:dyDescent="0.2">
      <c r="E20" s="175">
        <v>15</v>
      </c>
      <c r="F20" s="222">
        <f t="shared" si="58"/>
        <v>0.12</v>
      </c>
      <c r="G20" s="222">
        <f t="shared" si="41"/>
        <v>7.4999999999999997E-2</v>
      </c>
      <c r="H20" s="222">
        <f t="shared" si="0"/>
        <v>1.44</v>
      </c>
      <c r="I20" s="222">
        <f t="shared" si="59"/>
        <v>0.89999999999999991</v>
      </c>
      <c r="J20" s="556">
        <f t="shared" si="1"/>
        <v>13.5</v>
      </c>
      <c r="K20" s="452">
        <f t="shared" si="2"/>
        <v>12.25</v>
      </c>
      <c r="L20" s="452">
        <f t="shared" si="3"/>
        <v>25.75</v>
      </c>
      <c r="M20" s="452"/>
      <c r="N20" s="222">
        <f t="shared" si="4"/>
        <v>0.47572815533980584</v>
      </c>
      <c r="O20" s="177">
        <f t="shared" si="42"/>
        <v>7.6969156086631818</v>
      </c>
      <c r="P20" s="177">
        <f t="shared" si="5"/>
        <v>7.8171799150485421</v>
      </c>
      <c r="Q20" s="222">
        <f t="shared" si="6"/>
        <v>0.64140963405526519</v>
      </c>
      <c r="R20" s="222">
        <f t="shared" si="7"/>
        <v>0.64140963405526519</v>
      </c>
      <c r="S20" s="452">
        <f t="shared" si="8"/>
        <v>12</v>
      </c>
      <c r="T20" s="222">
        <f t="shared" si="9"/>
        <v>0.76706050841389184</v>
      </c>
      <c r="U20" s="222">
        <f t="shared" si="10"/>
        <v>0.39773507843683276</v>
      </c>
      <c r="V20" s="222">
        <f t="shared" si="11"/>
        <v>0.43832029052222388</v>
      </c>
      <c r="W20" s="202">
        <f t="shared" si="12"/>
        <v>350</v>
      </c>
      <c r="X20" s="452">
        <f t="shared" si="43"/>
        <v>350</v>
      </c>
      <c r="Z20" s="222">
        <f t="shared" si="13"/>
        <v>2.6213592233009715</v>
      </c>
      <c r="AA20" s="178">
        <f t="shared" si="14"/>
        <v>1.4979195561719838</v>
      </c>
      <c r="AB20" s="178">
        <f t="shared" si="15"/>
        <v>0.68715241775850722</v>
      </c>
      <c r="AC20" s="178"/>
      <c r="AD20" s="178">
        <f t="shared" si="16"/>
        <v>0.46857142857142853</v>
      </c>
      <c r="AE20" s="560">
        <f t="shared" si="17"/>
        <v>624.62819750148731</v>
      </c>
      <c r="AF20" s="543">
        <f t="shared" si="18"/>
        <v>6.723999999999998E-2</v>
      </c>
      <c r="AH20" s="178">
        <f t="shared" si="19"/>
        <v>1.3821013282797514</v>
      </c>
      <c r="AI20" s="178">
        <f t="shared" si="20"/>
        <v>1.3821013282797514</v>
      </c>
      <c r="AJ20" s="178">
        <f t="shared" si="21"/>
        <v>1.6163713542812974</v>
      </c>
      <c r="AL20" s="560">
        <f t="shared" si="22"/>
        <v>120</v>
      </c>
      <c r="AM20" s="470">
        <f t="shared" si="23"/>
        <v>350</v>
      </c>
      <c r="AO20">
        <f t="shared" si="44"/>
        <v>120</v>
      </c>
      <c r="AP20" s="470">
        <f t="shared" si="24"/>
        <v>350</v>
      </c>
      <c r="AQ20" s="470"/>
      <c r="AR20" s="6">
        <f t="shared" si="45"/>
        <v>2.8571428571428572</v>
      </c>
      <c r="AS20" s="6">
        <f t="shared" si="25"/>
        <v>0.71664513318209333</v>
      </c>
      <c r="AT20" s="6">
        <f t="shared" si="46"/>
        <v>2.1404977239607641</v>
      </c>
      <c r="AU20" s="178">
        <f t="shared" si="47"/>
        <v>0.25082579661373267</v>
      </c>
      <c r="AW20" s="6">
        <f>L*Iout^2/(2*Vripple1_spec*Vout*Npri_sec1^2)*1000000000*((1+N20)/(1-N20))^2</f>
        <v>12.324950464868163</v>
      </c>
      <c r="AX20" s="6">
        <f>L*F20^2/(2*Cout*Vout*Nps^2)*1000000000*((1+N20)/(1-N20))^2+F20*RCoutEsr</f>
        <v>1.0680290692583836</v>
      </c>
      <c r="AY20" s="6">
        <f>L*Iout2^2/(2*Vripple2_spec*Vout2*Npri_sec2^2)*1000000000*((1+N20)/(1-N20))^2</f>
        <v>4.8144337753391264</v>
      </c>
      <c r="AZ20" s="6">
        <f>L*G20^2/(2*Cout2*Vout2*Npri_sec2^2)*1000000000*((1+N20)/(1-N20))^2+G20*CoutEsr2</f>
        <v>0.50157385517905606</v>
      </c>
      <c r="BA20" s="6">
        <f>(H20+I20)/Efficiency/J20*AT20/Vinripple1</f>
        <v>0.57858807873143459</v>
      </c>
      <c r="BB20" s="470">
        <f>((BZ20/J20/Efficiency)*AT20/Cin+(BZ20/J20/Efficiency)*RCinEsr)*1000</f>
        <v>39.602063735424466</v>
      </c>
      <c r="BC20" s="6"/>
      <c r="BD20" s="178">
        <f t="shared" si="48"/>
        <v>0.3996366935398174</v>
      </c>
      <c r="BE20" s="178">
        <f t="shared" si="26"/>
        <v>0.69067011449324567</v>
      </c>
      <c r="BF20" s="178">
        <f t="shared" si="27"/>
        <v>0.43166882155827846</v>
      </c>
      <c r="BG20" s="178"/>
      <c r="BH20" s="543">
        <f t="shared" si="28"/>
        <v>1.7568043550578175E-2</v>
      </c>
      <c r="BI20" s="543">
        <f t="shared" si="29"/>
        <v>6.2280941105606294E-2</v>
      </c>
      <c r="BJ20" s="543">
        <f t="shared" si="30"/>
        <v>1.7499999999999998E-2</v>
      </c>
      <c r="BK20" s="543">
        <f t="shared" si="31"/>
        <v>5.2216171874999995E-2</v>
      </c>
      <c r="BL20">
        <f t="shared" si="32"/>
        <v>3.9150000000000001E-3</v>
      </c>
      <c r="BM20" s="470">
        <f t="shared" si="49"/>
        <v>153.48015653118446</v>
      </c>
      <c r="BN20" s="178">
        <f t="shared" si="33"/>
        <v>4.8000000000000001E-2</v>
      </c>
      <c r="BO20" s="178">
        <f t="shared" si="34"/>
        <v>0.03</v>
      </c>
      <c r="BP20" s="543"/>
      <c r="BR20" s="470">
        <f t="shared" si="50"/>
        <v>78</v>
      </c>
      <c r="BS20" s="543">
        <f t="shared" si="35"/>
        <v>6.3883794729375177E-3</v>
      </c>
      <c r="BT20" s="543">
        <f t="shared" si="51"/>
        <v>1.9081008282164521E-2</v>
      </c>
      <c r="BU20" s="543">
        <f t="shared" si="36"/>
        <v>5.590139145165385E-3</v>
      </c>
      <c r="BV20" s="543">
        <f t="shared" si="37"/>
        <v>0</v>
      </c>
      <c r="BW20" s="648">
        <f t="shared" si="38"/>
        <v>2.5071428571428574E-2</v>
      </c>
      <c r="BX20" s="470">
        <f t="shared" si="52"/>
        <v>56.130955471695998</v>
      </c>
      <c r="BY20" s="178">
        <f t="shared" si="53"/>
        <v>0.28761111200288042</v>
      </c>
      <c r="BZ20" s="6">
        <f t="shared" si="54"/>
        <v>2.34</v>
      </c>
      <c r="CA20" s="178">
        <f t="shared" si="55"/>
        <v>0.8905427402521332</v>
      </c>
      <c r="CB20" s="6">
        <f t="shared" si="56"/>
        <v>89.054274025213317</v>
      </c>
      <c r="CC20">
        <f t="shared" si="57"/>
        <v>15</v>
      </c>
      <c r="CE20" s="577">
        <f t="shared" si="39"/>
        <v>-50</v>
      </c>
      <c r="CF20">
        <f t="shared" si="40"/>
        <v>-50</v>
      </c>
    </row>
    <row r="21" spans="5:84" s="77" customFormat="1" x14ac:dyDescent="0.2">
      <c r="E21" s="194">
        <v>16</v>
      </c>
      <c r="F21" s="334">
        <f t="shared" si="58"/>
        <v>0.128</v>
      </c>
      <c r="G21" s="222">
        <f t="shared" si="41"/>
        <v>0.08</v>
      </c>
      <c r="H21" s="222">
        <f t="shared" si="0"/>
        <v>1.536</v>
      </c>
      <c r="I21" s="222">
        <f t="shared" si="59"/>
        <v>0.96</v>
      </c>
      <c r="J21" s="556">
        <f t="shared" si="1"/>
        <v>13.5</v>
      </c>
      <c r="K21" s="452">
        <f t="shared" si="2"/>
        <v>12.25</v>
      </c>
      <c r="L21" s="550">
        <f t="shared" si="3"/>
        <v>25.75</v>
      </c>
      <c r="M21" s="550"/>
      <c r="N21" s="334">
        <f t="shared" si="4"/>
        <v>0.47572815533980584</v>
      </c>
      <c r="O21" s="177">
        <f t="shared" si="42"/>
        <v>7.6969156086631818</v>
      </c>
      <c r="P21" s="177">
        <f t="shared" si="5"/>
        <v>7.8171799150485421</v>
      </c>
      <c r="Q21" s="334">
        <f t="shared" si="6"/>
        <v>0.64140963405526519</v>
      </c>
      <c r="R21" s="222">
        <f t="shared" si="7"/>
        <v>0.64140963405526519</v>
      </c>
      <c r="S21" s="452">
        <f t="shared" si="8"/>
        <v>12</v>
      </c>
      <c r="T21" s="222">
        <f t="shared" si="9"/>
        <v>0.81819787564148461</v>
      </c>
      <c r="U21" s="334">
        <f t="shared" si="10"/>
        <v>0.42425075033262166</v>
      </c>
      <c r="V21" s="222">
        <f t="shared" si="11"/>
        <v>0.46754164322370551</v>
      </c>
      <c r="W21" s="552">
        <f t="shared" si="12"/>
        <v>350</v>
      </c>
      <c r="X21" s="550">
        <f t="shared" si="43"/>
        <v>350</v>
      </c>
      <c r="Z21" s="334">
        <f t="shared" si="13"/>
        <v>2.6213592233009715</v>
      </c>
      <c r="AA21" s="178">
        <f t="shared" si="14"/>
        <v>1.4979195561719838</v>
      </c>
      <c r="AB21" s="178">
        <f t="shared" si="15"/>
        <v>0.68715241775850722</v>
      </c>
      <c r="AC21" s="553"/>
      <c r="AD21" s="178">
        <f t="shared" si="16"/>
        <v>0.46857142857142853</v>
      </c>
      <c r="AE21" s="560">
        <f t="shared" si="17"/>
        <v>666.27007733491985</v>
      </c>
      <c r="AF21" s="543">
        <f t="shared" si="18"/>
        <v>6.723999999999998E-2</v>
      </c>
      <c r="AG21"/>
      <c r="AH21" s="178">
        <f t="shared" si="19"/>
        <v>1.4274281139196339</v>
      </c>
      <c r="AI21" s="178">
        <f t="shared" si="20"/>
        <v>1.4274281139196339</v>
      </c>
      <c r="AJ21" s="178">
        <f t="shared" si="21"/>
        <v>1.6499467510515806</v>
      </c>
      <c r="AL21" s="560">
        <f t="shared" si="22"/>
        <v>128</v>
      </c>
      <c r="AM21" s="470">
        <f t="shared" si="23"/>
        <v>350</v>
      </c>
      <c r="AO21">
        <f t="shared" si="44"/>
        <v>128</v>
      </c>
      <c r="AP21" s="470">
        <f t="shared" si="24"/>
        <v>350</v>
      </c>
      <c r="AQ21" s="470"/>
      <c r="AR21" s="6">
        <f t="shared" si="45"/>
        <v>2.8571428571428572</v>
      </c>
      <c r="AS21" s="6">
        <f t="shared" si="25"/>
        <v>0.74014791092129151</v>
      </c>
      <c r="AT21" s="6">
        <f t="shared" si="46"/>
        <v>2.1169949462215656</v>
      </c>
      <c r="AU21" s="178">
        <f t="shared" si="47"/>
        <v>0.25905176882245201</v>
      </c>
      <c r="AW21" s="6">
        <f>L*Iout^2/(2*Vripple1_spec*Vout*Npri_sec1^2)*1000000000*((1+N21)/(1-N21))^2</f>
        <v>12.324950464868163</v>
      </c>
      <c r="AX21" s="6">
        <f>L*F21^2/(2*Cout*Vout*Nps^2)*1000000000*((1+N21)/(1-N21))^2+F21*RCoutEsr</f>
        <v>1.1895797410228721</v>
      </c>
      <c r="AY21" s="6">
        <f>L*Iout2^2/(2*Vripple2_spec*Vout2*Npri_sec2^2)*1000000000*((1+N21)/(1-N21))^2</f>
        <v>4.8144337753391264</v>
      </c>
      <c r="AZ21" s="6">
        <f>L*G21^2/(2*Cout2*Vout2*Npri_sec2^2)*1000000000*((1+N21)/(1-N21))^2+G21*CoutEsr2</f>
        <v>0.55467958633705949</v>
      </c>
      <c r="BA21" s="6">
        <f>(H21+I21)/Efficiency/J21*AT21/Vinripple1</f>
        <v>0.610384161232434</v>
      </c>
      <c r="BB21" s="470">
        <f>((BZ21/J21/Efficiency)*AT21/Cin+(BZ21/J21/Efficiency)*RCinEsr)*1000</f>
        <v>41.784790532312108</v>
      </c>
      <c r="BC21" s="6"/>
      <c r="BD21" s="178">
        <f t="shared" si="48"/>
        <v>0.41945647207734865</v>
      </c>
      <c r="BE21" s="178">
        <f t="shared" si="26"/>
        <v>0.7093940664410805</v>
      </c>
      <c r="BF21" s="178">
        <f t="shared" si="27"/>
        <v>0.44337129152567523</v>
      </c>
      <c r="BG21" s="178"/>
      <c r="BH21" s="543">
        <f t="shared" si="28"/>
        <v>1.9353810516433312E-2</v>
      </c>
      <c r="BI21" s="543">
        <f t="shared" si="29"/>
        <v>6.4323479383503496E-2</v>
      </c>
      <c r="BJ21" s="543">
        <f t="shared" si="30"/>
        <v>1.7499999999999998E-2</v>
      </c>
      <c r="BK21" s="543">
        <f t="shared" si="31"/>
        <v>5.2216171874999995E-2</v>
      </c>
      <c r="BL21">
        <f t="shared" si="32"/>
        <v>3.9150000000000001E-3</v>
      </c>
      <c r="BM21" s="470">
        <f t="shared" si="49"/>
        <v>157.3084617749368</v>
      </c>
      <c r="BN21" s="178">
        <f t="shared" si="33"/>
        <v>5.1200000000000002E-2</v>
      </c>
      <c r="BO21" s="178">
        <f t="shared" si="34"/>
        <v>3.2000000000000001E-2</v>
      </c>
      <c r="BP21" s="543"/>
      <c r="BR21" s="470">
        <f t="shared" si="50"/>
        <v>83.2</v>
      </c>
      <c r="BS21" s="543">
        <f t="shared" si="35"/>
        <v>7.0377492787030227E-3</v>
      </c>
      <c r="BT21" s="543">
        <f t="shared" si="51"/>
        <v>2.0129597660072489E-2</v>
      </c>
      <c r="BU21" s="543">
        <f t="shared" si="36"/>
        <v>5.8973430644743583E-3</v>
      </c>
      <c r="BV21" s="543">
        <f t="shared" si="37"/>
        <v>0</v>
      </c>
      <c r="BW21" s="648">
        <f t="shared" si="38"/>
        <v>2.6742857142857148E-2</v>
      </c>
      <c r="BX21" s="470">
        <f t="shared" si="52"/>
        <v>59.807547146107019</v>
      </c>
      <c r="BY21" s="178">
        <f t="shared" si="53"/>
        <v>0.30031600892104376</v>
      </c>
      <c r="BZ21" s="6">
        <f t="shared" si="54"/>
        <v>2.496</v>
      </c>
      <c r="CA21" s="178">
        <f t="shared" si="55"/>
        <v>0.89260297907570163</v>
      </c>
      <c r="CB21" s="6">
        <f t="shared" si="56"/>
        <v>89.260297907570163</v>
      </c>
      <c r="CC21">
        <f t="shared" si="57"/>
        <v>16</v>
      </c>
      <c r="CE21" s="577">
        <f t="shared" si="39"/>
        <v>-50</v>
      </c>
      <c r="CF21">
        <f t="shared" si="40"/>
        <v>-50</v>
      </c>
    </row>
    <row r="22" spans="5:84" x14ac:dyDescent="0.2">
      <c r="E22" s="175">
        <v>17</v>
      </c>
      <c r="F22" s="222">
        <f t="shared" si="58"/>
        <v>0.13600000000000001</v>
      </c>
      <c r="G22" s="222">
        <f t="shared" si="41"/>
        <v>8.5000000000000006E-2</v>
      </c>
      <c r="H22" s="222">
        <f t="shared" si="0"/>
        <v>1.6320000000000001</v>
      </c>
      <c r="I22" s="222">
        <f t="shared" si="59"/>
        <v>1.02</v>
      </c>
      <c r="J22" s="556">
        <f t="shared" si="1"/>
        <v>13.5</v>
      </c>
      <c r="K22" s="452">
        <f t="shared" si="2"/>
        <v>12.25</v>
      </c>
      <c r="L22" s="452">
        <f t="shared" si="3"/>
        <v>25.75</v>
      </c>
      <c r="M22" s="452"/>
      <c r="N22" s="222">
        <f t="shared" si="4"/>
        <v>0.47572815533980584</v>
      </c>
      <c r="O22" s="177">
        <f t="shared" si="42"/>
        <v>7.6969156086631818</v>
      </c>
      <c r="P22" s="177">
        <f t="shared" si="5"/>
        <v>7.8171799150485421</v>
      </c>
      <c r="Q22" s="222">
        <f t="shared" si="6"/>
        <v>0.64140963405526519</v>
      </c>
      <c r="R22" s="222">
        <f t="shared" si="7"/>
        <v>0.64140963405526519</v>
      </c>
      <c r="S22" s="452">
        <f t="shared" si="8"/>
        <v>12</v>
      </c>
      <c r="T22" s="222">
        <f t="shared" si="9"/>
        <v>0.86933524286907748</v>
      </c>
      <c r="U22" s="222">
        <f t="shared" si="10"/>
        <v>0.45076642222841051</v>
      </c>
      <c r="V22" s="222">
        <f t="shared" si="11"/>
        <v>0.49676299592518719</v>
      </c>
      <c r="W22" s="202">
        <f t="shared" si="12"/>
        <v>350</v>
      </c>
      <c r="X22" s="452">
        <f t="shared" si="43"/>
        <v>350</v>
      </c>
      <c r="Z22" s="222">
        <f t="shared" si="13"/>
        <v>2.6213592233009715</v>
      </c>
      <c r="AA22" s="178">
        <f t="shared" si="14"/>
        <v>1.4979195561719838</v>
      </c>
      <c r="AB22" s="178">
        <f t="shared" si="15"/>
        <v>0.68715241775850722</v>
      </c>
      <c r="AC22" s="178"/>
      <c r="AD22" s="178">
        <f t="shared" si="16"/>
        <v>0.46857142857142853</v>
      </c>
      <c r="AE22" s="560">
        <f t="shared" si="17"/>
        <v>707.91195716835227</v>
      </c>
      <c r="AF22" s="543">
        <f t="shared" si="18"/>
        <v>6.723999999999998E-2</v>
      </c>
      <c r="AH22" s="178">
        <f t="shared" si="19"/>
        <v>1.4713592216667122</v>
      </c>
      <c r="AI22" s="178">
        <f t="shared" si="20"/>
        <v>1.4713592216667122</v>
      </c>
      <c r="AJ22" s="178">
        <f t="shared" si="21"/>
        <v>1.6824883123457126</v>
      </c>
      <c r="AL22" s="560">
        <f t="shared" si="22"/>
        <v>136</v>
      </c>
      <c r="AM22" s="470">
        <f t="shared" si="23"/>
        <v>350</v>
      </c>
      <c r="AO22">
        <f t="shared" si="44"/>
        <v>136</v>
      </c>
      <c r="AP22" s="470">
        <f t="shared" si="24"/>
        <v>350</v>
      </c>
      <c r="AQ22" s="470"/>
      <c r="AR22" s="6">
        <f t="shared" si="45"/>
        <v>2.8571428571428572</v>
      </c>
      <c r="AS22" s="6">
        <f t="shared" si="25"/>
        <v>0.76292700382718404</v>
      </c>
      <c r="AT22" s="6">
        <f t="shared" si="46"/>
        <v>2.0942158533156734</v>
      </c>
      <c r="AU22" s="178">
        <f t="shared" si="47"/>
        <v>0.26702445133951441</v>
      </c>
      <c r="AW22" s="6">
        <f>L*Iout^2/(2*Vripple1_spec*Vout*Npri_sec1^2)*1000000000*((1+N22)/(1-N22))^2</f>
        <v>12.324950464868163</v>
      </c>
      <c r="AX22" s="6">
        <f>L*F22^2/(2*Cout*Vout*Nps^2)*1000000000*((1+N22)/(1-N22))^2+F22*RCoutEsr</f>
        <v>1.3174240045141019</v>
      </c>
      <c r="AY22" s="6">
        <f>L*Iout2^2/(2*Vripple2_spec*Vout2*Npri_sec2^2)*1000000000*((1+N22)/(1-N22))^2</f>
        <v>4.8144337753391264</v>
      </c>
      <c r="AZ22" s="6">
        <f>L*G22^2/(2*Cout2*Vout2*Npri_sec2^2)*1000000000*((1+N22)/(1-N22))^2+G22*CoutEsr2</f>
        <v>0.61024375176332102</v>
      </c>
      <c r="BA22" s="6">
        <f>(H22+I22)/Efficiency/J22*AT22/Vinripple1</f>
        <v>0.64155488475843381</v>
      </c>
      <c r="BB22" s="470">
        <f>((BZ22/J22/Efficiency)*AT22/Cin+(BZ22/J22/Efficiency)*RCinEsr)*1000</f>
        <v>43.925305598387268</v>
      </c>
      <c r="BC22" s="6"/>
      <c r="BD22" s="178">
        <f t="shared" si="48"/>
        <v>0.43896874974461636</v>
      </c>
      <c r="BE22" s="178">
        <f t="shared" si="26"/>
        <v>0.72728198782100528</v>
      </c>
      <c r="BF22" s="178">
        <f t="shared" si="27"/>
        <v>0.45455124238812822</v>
      </c>
      <c r="BG22" s="178"/>
      <c r="BH22" s="543">
        <f t="shared" si="28"/>
        <v>2.119629195775868E-2</v>
      </c>
      <c r="BI22" s="543">
        <f t="shared" si="29"/>
        <v>6.6303124926356233E-2</v>
      </c>
      <c r="BJ22" s="543">
        <f t="shared" si="30"/>
        <v>1.7499999999999998E-2</v>
      </c>
      <c r="BK22" s="543">
        <f t="shared" si="31"/>
        <v>5.2216171874999995E-2</v>
      </c>
      <c r="BL22">
        <f t="shared" si="32"/>
        <v>3.9150000000000001E-3</v>
      </c>
      <c r="BM22" s="470">
        <f t="shared" si="49"/>
        <v>161.13058875911491</v>
      </c>
      <c r="BN22" s="178">
        <f t="shared" si="33"/>
        <v>5.4400000000000004E-2</v>
      </c>
      <c r="BO22" s="178">
        <f t="shared" si="34"/>
        <v>3.4000000000000002E-2</v>
      </c>
      <c r="BP22" s="543"/>
      <c r="BR22" s="470">
        <f t="shared" si="50"/>
        <v>88.4</v>
      </c>
      <c r="BS22" s="543">
        <f t="shared" si="35"/>
        <v>7.7077425300940651E-3</v>
      </c>
      <c r="BT22" s="543">
        <f t="shared" si="51"/>
        <v>2.1157563592354912E-2</v>
      </c>
      <c r="BU22" s="543">
        <f t="shared" si="36"/>
        <v>6.1985049586977268E-3</v>
      </c>
      <c r="BV22" s="543">
        <f t="shared" si="37"/>
        <v>0</v>
      </c>
      <c r="BW22" s="648">
        <f t="shared" si="38"/>
        <v>2.8414285714285711E-2</v>
      </c>
      <c r="BX22" s="470">
        <f t="shared" si="52"/>
        <v>63.478096795432428</v>
      </c>
      <c r="BY22" s="178">
        <f t="shared" si="53"/>
        <v>0.31300868555454736</v>
      </c>
      <c r="BZ22" s="6">
        <f t="shared" si="54"/>
        <v>2.6520000000000001</v>
      </c>
      <c r="CA22" s="178">
        <f t="shared" si="55"/>
        <v>0.89443245577002239</v>
      </c>
      <c r="CB22" s="6">
        <f t="shared" si="56"/>
        <v>89.443245577002244</v>
      </c>
      <c r="CC22">
        <f t="shared" si="57"/>
        <v>17</v>
      </c>
      <c r="CE22" s="577">
        <f t="shared" si="39"/>
        <v>-50</v>
      </c>
      <c r="CF22">
        <f t="shared" si="40"/>
        <v>-50</v>
      </c>
    </row>
    <row r="23" spans="5:84" x14ac:dyDescent="0.2">
      <c r="E23" s="175">
        <v>18</v>
      </c>
      <c r="F23" s="222">
        <f t="shared" si="58"/>
        <v>0.14399999999999999</v>
      </c>
      <c r="G23" s="222">
        <f t="shared" si="41"/>
        <v>0.09</v>
      </c>
      <c r="H23" s="222">
        <f t="shared" si="0"/>
        <v>1.7279999999999998</v>
      </c>
      <c r="I23" s="222">
        <f t="shared" si="59"/>
        <v>1.08</v>
      </c>
      <c r="J23" s="556">
        <f t="shared" si="1"/>
        <v>13.5</v>
      </c>
      <c r="K23" s="452">
        <f t="shared" si="2"/>
        <v>12.25</v>
      </c>
      <c r="L23" s="452">
        <f t="shared" si="3"/>
        <v>25.75</v>
      </c>
      <c r="M23" s="452"/>
      <c r="N23" s="222">
        <f t="shared" si="4"/>
        <v>0.47572815533980584</v>
      </c>
      <c r="O23" s="177">
        <f t="shared" si="42"/>
        <v>7.6969156086631818</v>
      </c>
      <c r="P23" s="177">
        <f t="shared" si="5"/>
        <v>7.8171799150485421</v>
      </c>
      <c r="Q23" s="222">
        <f t="shared" si="6"/>
        <v>0.64140963405526519</v>
      </c>
      <c r="R23" s="222">
        <f t="shared" si="7"/>
        <v>0.64140963405526519</v>
      </c>
      <c r="S23" s="452">
        <f t="shared" si="8"/>
        <v>12</v>
      </c>
      <c r="T23" s="222">
        <f t="shared" si="9"/>
        <v>0.92047261009667014</v>
      </c>
      <c r="U23" s="222">
        <f t="shared" si="10"/>
        <v>0.47728209412419931</v>
      </c>
      <c r="V23" s="222">
        <f t="shared" si="11"/>
        <v>0.52598434862666865</v>
      </c>
      <c r="W23" s="202">
        <f t="shared" si="12"/>
        <v>350</v>
      </c>
      <c r="X23" s="452">
        <f t="shared" si="43"/>
        <v>350</v>
      </c>
      <c r="Z23" s="222">
        <f t="shared" si="13"/>
        <v>2.6213592233009715</v>
      </c>
      <c r="AA23" s="178">
        <f t="shared" si="14"/>
        <v>1.4979195561719838</v>
      </c>
      <c r="AB23" s="178">
        <f t="shared" si="15"/>
        <v>0.68715241775850722</v>
      </c>
      <c r="AC23" s="178"/>
      <c r="AD23" s="178">
        <f t="shared" si="16"/>
        <v>0.46857142857142853</v>
      </c>
      <c r="AE23" s="560">
        <f t="shared" si="17"/>
        <v>749.5538370017847</v>
      </c>
      <c r="AF23" s="543">
        <f t="shared" si="18"/>
        <v>6.723999999999998E-2</v>
      </c>
      <c r="AH23" s="178">
        <f t="shared" si="19"/>
        <v>1.514016148513345</v>
      </c>
      <c r="AI23" s="178">
        <f t="shared" si="20"/>
        <v>1.514016148513345</v>
      </c>
      <c r="AJ23" s="178">
        <f t="shared" si="21"/>
        <v>1.7140860359358112</v>
      </c>
      <c r="AL23" s="560">
        <f t="shared" si="22"/>
        <v>144</v>
      </c>
      <c r="AM23" s="470">
        <f t="shared" si="23"/>
        <v>350</v>
      </c>
      <c r="AO23">
        <f t="shared" si="44"/>
        <v>144</v>
      </c>
      <c r="AP23" s="470">
        <f t="shared" si="24"/>
        <v>350</v>
      </c>
      <c r="AQ23" s="470"/>
      <c r="AR23" s="6">
        <f t="shared" si="45"/>
        <v>2.8571428571428572</v>
      </c>
      <c r="AS23" s="6">
        <f t="shared" si="25"/>
        <v>0.78504541034025299</v>
      </c>
      <c r="AT23" s="6">
        <f t="shared" si="46"/>
        <v>2.0720974468026041</v>
      </c>
      <c r="AU23" s="178">
        <f t="shared" si="47"/>
        <v>0.27476589361908854</v>
      </c>
      <c r="AW23" s="6">
        <f>L*Iout^2/(2*Vripple1_spec*Vout*Npri_sec1^2)*1000000000*((1+N23)/(1-N23))^2</f>
        <v>12.324950464868163</v>
      </c>
      <c r="AX23" s="6">
        <f>L*F23^2/(2*Cout*Vout*Nps^2)*1000000000*((1+N23)/(1-N23))^2+F23*RCoutEsr</f>
        <v>1.4515618597320725</v>
      </c>
      <c r="AY23" s="6">
        <f>L*Iout2^2/(2*Vripple2_spec*Vout2*Npri_sec2^2)*1000000000*((1+N23)/(1-N23))^2</f>
        <v>4.8144337753391264</v>
      </c>
      <c r="AZ23" s="6">
        <f>L*G23^2/(2*Cout2*Vout2*Npri_sec2^2)*1000000000*((1+N23)/(1-N23))^2+G23*CoutEsr2</f>
        <v>0.66826635145784086</v>
      </c>
      <c r="BA23" s="6">
        <f>(H23+I23)/Efficiency/J23*AT23/Vinripple1</f>
        <v>0.67211893791024024</v>
      </c>
      <c r="BB23" s="470">
        <f>((BZ23/J23/Efficiency)*AT23/Cin+(BZ23/J23/Efficiency)*RCinEsr)*1000</f>
        <v>46.024870414204379</v>
      </c>
      <c r="BC23" s="6"/>
      <c r="BD23" s="178">
        <f t="shared" si="48"/>
        <v>0.45819599801160471</v>
      </c>
      <c r="BE23" s="178">
        <f t="shared" si="26"/>
        <v>0.74440450029484007</v>
      </c>
      <c r="BF23" s="178">
        <f t="shared" si="27"/>
        <v>0.46525281268427499</v>
      </c>
      <c r="BG23" s="178"/>
      <c r="BH23" s="543">
        <f t="shared" si="28"/>
        <v>2.309379298532355E-2</v>
      </c>
      <c r="BI23" s="543">
        <f t="shared" si="29"/>
        <v>6.8225352692382613E-2</v>
      </c>
      <c r="BJ23" s="543">
        <f t="shared" si="30"/>
        <v>1.7499999999999998E-2</v>
      </c>
      <c r="BK23" s="543">
        <f t="shared" si="31"/>
        <v>5.2216171874999995E-2</v>
      </c>
      <c r="BL23">
        <f t="shared" si="32"/>
        <v>3.9150000000000001E-3</v>
      </c>
      <c r="BM23" s="470">
        <f t="shared" si="49"/>
        <v>164.95031755270617</v>
      </c>
      <c r="BN23" s="178">
        <f t="shared" si="33"/>
        <v>5.7599999999999998E-2</v>
      </c>
      <c r="BO23" s="178">
        <f t="shared" si="34"/>
        <v>3.5999999999999997E-2</v>
      </c>
      <c r="BP23" s="543"/>
      <c r="BR23" s="470">
        <f t="shared" si="50"/>
        <v>93.6</v>
      </c>
      <c r="BS23" s="543">
        <f t="shared" si="35"/>
        <v>8.3977429037540192E-3</v>
      </c>
      <c r="BT23" s="543">
        <f t="shared" si="51"/>
        <v>2.216552240236842E-2</v>
      </c>
      <c r="BU23" s="543">
        <f t="shared" si="36"/>
        <v>6.4938053913188715E-3</v>
      </c>
      <c r="BV23" s="543">
        <f t="shared" si="37"/>
        <v>0</v>
      </c>
      <c r="BW23" s="648">
        <f t="shared" si="38"/>
        <v>3.0085714285714282E-2</v>
      </c>
      <c r="BX23" s="470">
        <f t="shared" si="52"/>
        <v>67.142784983155593</v>
      </c>
      <c r="BY23" s="178">
        <f t="shared" si="53"/>
        <v>0.3256931025358617</v>
      </c>
      <c r="BZ23" s="6">
        <f t="shared" si="54"/>
        <v>2.8079999999999998</v>
      </c>
      <c r="CA23" s="178">
        <f t="shared" si="55"/>
        <v>0.89606732635295305</v>
      </c>
      <c r="CB23" s="6">
        <f t="shared" si="56"/>
        <v>89.606732635295302</v>
      </c>
      <c r="CC23">
        <f t="shared" si="57"/>
        <v>17.999999999999996</v>
      </c>
      <c r="CE23" s="577">
        <f t="shared" si="39"/>
        <v>-50</v>
      </c>
      <c r="CF23">
        <f t="shared" si="40"/>
        <v>-50</v>
      </c>
    </row>
    <row r="24" spans="5:84" x14ac:dyDescent="0.2">
      <c r="E24" s="175">
        <v>19</v>
      </c>
      <c r="F24" s="222">
        <f t="shared" si="58"/>
        <v>0.15200000000000002</v>
      </c>
      <c r="G24" s="222">
        <f t="shared" si="41"/>
        <v>9.5000000000000001E-2</v>
      </c>
      <c r="H24" s="222">
        <f t="shared" si="0"/>
        <v>1.8240000000000003</v>
      </c>
      <c r="I24" s="222">
        <f t="shared" si="59"/>
        <v>1.1400000000000001</v>
      </c>
      <c r="J24" s="556">
        <f t="shared" si="1"/>
        <v>13.5</v>
      </c>
      <c r="K24" s="452">
        <f t="shared" si="2"/>
        <v>12.25</v>
      </c>
      <c r="L24" s="452">
        <f t="shared" si="3"/>
        <v>25.75</v>
      </c>
      <c r="M24" s="452"/>
      <c r="N24" s="222">
        <f t="shared" si="4"/>
        <v>0.47572815533980584</v>
      </c>
      <c r="O24" s="177">
        <f t="shared" si="42"/>
        <v>7.6969156086631818</v>
      </c>
      <c r="P24" s="177">
        <f t="shared" si="5"/>
        <v>7.8171799150485421</v>
      </c>
      <c r="Q24" s="222">
        <f t="shared" si="6"/>
        <v>0.64140963405526519</v>
      </c>
      <c r="R24" s="222">
        <f t="shared" si="7"/>
        <v>0.64140963405526519</v>
      </c>
      <c r="S24" s="452">
        <f t="shared" si="8"/>
        <v>12</v>
      </c>
      <c r="T24" s="222">
        <f t="shared" si="9"/>
        <v>0.97160997732426313</v>
      </c>
      <c r="U24" s="222">
        <f t="shared" si="10"/>
        <v>0.50379776601998827</v>
      </c>
      <c r="V24" s="222">
        <f t="shared" si="11"/>
        <v>0.55520570132815028</v>
      </c>
      <c r="W24" s="202">
        <f t="shared" si="12"/>
        <v>350</v>
      </c>
      <c r="X24" s="452">
        <f t="shared" si="43"/>
        <v>350</v>
      </c>
      <c r="Z24" s="222">
        <f t="shared" si="13"/>
        <v>2.6213592233009715</v>
      </c>
      <c r="AA24" s="178">
        <f t="shared" si="14"/>
        <v>1.4979195561719838</v>
      </c>
      <c r="AB24" s="178">
        <f t="shared" si="15"/>
        <v>0.68715241775850722</v>
      </c>
      <c r="AC24" s="178"/>
      <c r="AD24" s="178">
        <f t="shared" si="16"/>
        <v>0.46857142857142853</v>
      </c>
      <c r="AE24" s="560">
        <f t="shared" si="17"/>
        <v>791.19571683521747</v>
      </c>
      <c r="AF24" s="543">
        <f t="shared" si="18"/>
        <v>6.723999999999998E-2</v>
      </c>
      <c r="AH24" s="178">
        <f t="shared" si="19"/>
        <v>1.5555037244361372</v>
      </c>
      <c r="AI24" s="178">
        <f t="shared" si="20"/>
        <v>1.5555037244361372</v>
      </c>
      <c r="AJ24" s="178">
        <f t="shared" si="21"/>
        <v>1.7448175736563978</v>
      </c>
      <c r="AL24" s="560">
        <f t="shared" si="22"/>
        <v>152.00000000000003</v>
      </c>
      <c r="AM24" s="470">
        <f t="shared" si="23"/>
        <v>350</v>
      </c>
      <c r="AO24">
        <f t="shared" si="44"/>
        <v>152.00000000000003</v>
      </c>
      <c r="AP24" s="470">
        <f t="shared" si="24"/>
        <v>350</v>
      </c>
      <c r="AQ24" s="470"/>
      <c r="AR24" s="6">
        <f t="shared" si="45"/>
        <v>2.8571428571428572</v>
      </c>
      <c r="AS24" s="6">
        <f t="shared" si="25"/>
        <v>0.80655748674466365</v>
      </c>
      <c r="AT24" s="6">
        <f t="shared" si="46"/>
        <v>2.0505853703981938</v>
      </c>
      <c r="AU24" s="178">
        <f t="shared" si="47"/>
        <v>0.28229512036063226</v>
      </c>
      <c r="AW24" s="6">
        <f>L*Iout^2/(2*Vripple1_spec*Vout*Npri_sec1^2)*1000000000*((1+N24)/(1-N24))^2</f>
        <v>12.324950464868163</v>
      </c>
      <c r="AX24" s="6">
        <f>L*F24^2/(2*Cout*Vout*Nps^2)*1000000000*((1+N24)/(1-N24))^2+F24*RCoutEsr</f>
        <v>1.5919933066767848</v>
      </c>
      <c r="AY24" s="6">
        <f>L*Iout2^2/(2*Vripple2_spec*Vout2*Npri_sec2^2)*1000000000*((1+N24)/(1-N24))^2</f>
        <v>4.8144337753391264</v>
      </c>
      <c r="AZ24" s="6">
        <f>L*G24^2/(2*Cout2*Vout2*Npri_sec2^2)*1000000000*((1+N24)/(1-N24))^2+G24*CoutEsr2</f>
        <v>0.72874738542061901</v>
      </c>
      <c r="BA24" s="6">
        <f>(H24+I24)/Efficiency/J24*AT24/Vinripple1</f>
        <v>0.70209342723098656</v>
      </c>
      <c r="BB24" s="470">
        <f>((BZ24/J24/Efficiency)*AT24/Cin+(BZ24/J24/Efficiency)*RCinEsr)*1000</f>
        <v>48.084639671424931</v>
      </c>
      <c r="BC24" s="6"/>
      <c r="BD24" s="178">
        <f t="shared" si="48"/>
        <v>0.47715789447331569</v>
      </c>
      <c r="BE24" s="178">
        <f t="shared" si="26"/>
        <v>0.7608225522332327</v>
      </c>
      <c r="BF24" s="178">
        <f t="shared" si="27"/>
        <v>0.47551409514577037</v>
      </c>
      <c r="BG24" s="178"/>
      <c r="BH24" s="543">
        <f t="shared" si="28"/>
        <v>2.5044762188402868E-2</v>
      </c>
      <c r="BI24" s="543">
        <f t="shared" si="29"/>
        <v>7.009488658240344E-2</v>
      </c>
      <c r="BJ24" s="543">
        <f t="shared" si="30"/>
        <v>1.7499999999999998E-2</v>
      </c>
      <c r="BK24" s="543">
        <f t="shared" si="31"/>
        <v>5.2216171874999995E-2</v>
      </c>
      <c r="BL24">
        <f t="shared" si="32"/>
        <v>3.9150000000000001E-3</v>
      </c>
      <c r="BM24" s="470">
        <f t="shared" si="49"/>
        <v>168.77082064580628</v>
      </c>
      <c r="BN24" s="178">
        <f t="shared" si="33"/>
        <v>6.0800000000000014E-2</v>
      </c>
      <c r="BO24" s="178">
        <f t="shared" si="34"/>
        <v>3.8000000000000006E-2</v>
      </c>
      <c r="BP24" s="543"/>
      <c r="BR24" s="470">
        <f t="shared" si="50"/>
        <v>98.800000000000026</v>
      </c>
      <c r="BS24" s="543">
        <f t="shared" si="35"/>
        <v>9.1071862503283151E-3</v>
      </c>
      <c r="BT24" s="543">
        <f t="shared" si="51"/>
        <v>2.3154038239467604E-2</v>
      </c>
      <c r="BU24" s="543">
        <f t="shared" si="36"/>
        <v>6.7834096404690222E-3</v>
      </c>
      <c r="BV24" s="543">
        <f t="shared" si="37"/>
        <v>0</v>
      </c>
      <c r="BW24" s="648">
        <f t="shared" si="38"/>
        <v>3.1757142857142866E-2</v>
      </c>
      <c r="BX24" s="470">
        <f t="shared" si="52"/>
        <v>70.801776987407806</v>
      </c>
      <c r="BY24" s="178">
        <f t="shared" si="53"/>
        <v>0.33837259763321409</v>
      </c>
      <c r="BZ24" s="6">
        <f t="shared" si="54"/>
        <v>2.9640000000000004</v>
      </c>
      <c r="CA24" s="178">
        <f t="shared" si="55"/>
        <v>0.89753651726769923</v>
      </c>
      <c r="CB24" s="6">
        <f t="shared" si="56"/>
        <v>89.753651726769917</v>
      </c>
      <c r="CC24">
        <f t="shared" si="57"/>
        <v>19.000000000000004</v>
      </c>
      <c r="CE24" s="577">
        <f t="shared" si="39"/>
        <v>-50</v>
      </c>
      <c r="CF24">
        <f t="shared" si="40"/>
        <v>-50</v>
      </c>
    </row>
    <row r="25" spans="5:84" x14ac:dyDescent="0.2">
      <c r="E25" s="175">
        <v>20</v>
      </c>
      <c r="F25" s="222">
        <f t="shared" si="58"/>
        <v>0.16000000000000003</v>
      </c>
      <c r="G25" s="222">
        <f t="shared" si="41"/>
        <v>0.1</v>
      </c>
      <c r="H25" s="222">
        <f t="shared" si="0"/>
        <v>1.9200000000000004</v>
      </c>
      <c r="I25" s="222">
        <f t="shared" si="59"/>
        <v>1.2000000000000002</v>
      </c>
      <c r="J25" s="556">
        <f t="shared" si="1"/>
        <v>13.5</v>
      </c>
      <c r="K25" s="452">
        <f t="shared" si="2"/>
        <v>12.25</v>
      </c>
      <c r="L25" s="452">
        <f t="shared" si="3"/>
        <v>25.75</v>
      </c>
      <c r="M25" s="452"/>
      <c r="N25" s="222">
        <f t="shared" si="4"/>
        <v>0.47572815533980584</v>
      </c>
      <c r="O25" s="177">
        <f t="shared" si="42"/>
        <v>7.6969156086631818</v>
      </c>
      <c r="P25" s="177">
        <f t="shared" si="5"/>
        <v>7.8171799150485421</v>
      </c>
      <c r="Q25" s="222">
        <f t="shared" si="6"/>
        <v>0.64140963405526519</v>
      </c>
      <c r="R25" s="222">
        <f t="shared" si="7"/>
        <v>0.64140963405526519</v>
      </c>
      <c r="S25" s="452">
        <f t="shared" si="8"/>
        <v>12</v>
      </c>
      <c r="T25" s="222">
        <f t="shared" si="9"/>
        <v>1.022747344551856</v>
      </c>
      <c r="U25" s="222">
        <f t="shared" si="10"/>
        <v>0.53031343791577712</v>
      </c>
      <c r="V25" s="222">
        <f t="shared" si="11"/>
        <v>0.58442705402963191</v>
      </c>
      <c r="W25" s="202">
        <f t="shared" si="12"/>
        <v>350</v>
      </c>
      <c r="X25" s="452">
        <f t="shared" si="43"/>
        <v>350</v>
      </c>
      <c r="Z25" s="222">
        <f t="shared" si="13"/>
        <v>2.6213592233009715</v>
      </c>
      <c r="AA25" s="178">
        <f t="shared" si="14"/>
        <v>1.4979195561719838</v>
      </c>
      <c r="AB25" s="178">
        <f t="shared" si="15"/>
        <v>0.68715241775850722</v>
      </c>
      <c r="AC25" s="178"/>
      <c r="AD25" s="178">
        <f t="shared" si="16"/>
        <v>0.46857142857142853</v>
      </c>
      <c r="AE25" s="560">
        <f t="shared" si="17"/>
        <v>832.83759666864989</v>
      </c>
      <c r="AF25" s="543">
        <f t="shared" si="18"/>
        <v>6.723999999999998E-2</v>
      </c>
      <c r="AH25" s="178">
        <f t="shared" si="19"/>
        <v>1.5959131478593076</v>
      </c>
      <c r="AI25" s="178">
        <f t="shared" si="20"/>
        <v>1.5959131478593076</v>
      </c>
      <c r="AJ25" s="178">
        <f t="shared" si="21"/>
        <v>1.7747504798957834</v>
      </c>
      <c r="AL25" s="560">
        <f t="shared" si="22"/>
        <v>160.00000000000003</v>
      </c>
      <c r="AM25" s="470">
        <f t="shared" si="23"/>
        <v>350</v>
      </c>
      <c r="AO25">
        <f t="shared" si="44"/>
        <v>160.00000000000003</v>
      </c>
      <c r="AP25" s="470">
        <f t="shared" si="24"/>
        <v>350</v>
      </c>
      <c r="AQ25" s="470"/>
      <c r="AR25" s="6">
        <f t="shared" si="45"/>
        <v>2.8571428571428572</v>
      </c>
      <c r="AS25" s="6">
        <f t="shared" si="25"/>
        <v>0.82751052111223367</v>
      </c>
      <c r="AT25" s="6">
        <f t="shared" si="46"/>
        <v>2.0296323360306237</v>
      </c>
      <c r="AU25" s="178">
        <f t="shared" si="47"/>
        <v>0.2896286823892818</v>
      </c>
      <c r="AW25" s="6">
        <f>L*Iout^2/(2*Vripple1_spec*Vout*Npri_sec1^2)*1000000000*((1+N25)/(1-N25))^2</f>
        <v>12.324950464868163</v>
      </c>
      <c r="AX25" s="6">
        <f>L*F25^2/(2*Cout*Vout*Nps^2)*1000000000*((1+N25)/(1-N25))^2+F25*RCoutEsr</f>
        <v>1.7387183453482384</v>
      </c>
      <c r="AY25" s="6">
        <f>L*Iout2^2/(2*Vripple2_spec*Vout2*Npri_sec2^2)*1000000000*((1+N25)/(1-N25))^2</f>
        <v>4.8144337753391264</v>
      </c>
      <c r="AZ25" s="6">
        <f>L*G25^2/(2*Cout2*Vout2*Npri_sec2^2)*1000000000*((1+N25)/(1-N25))^2+G25*CoutEsr2</f>
        <v>0.79168685365165548</v>
      </c>
      <c r="BA25" s="6">
        <f>(H25+I25)/Efficiency/J25*AT25/Vinripple1</f>
        <v>0.73149408861922416</v>
      </c>
      <c r="BB25" s="470">
        <f>((BZ25/J25/Efficiency)*AT25/Cin+(BZ25/J25/Efficiency)*RCinEsr)*1000</f>
        <v>50.105675543201144</v>
      </c>
      <c r="BC25" s="6"/>
      <c r="BD25" s="178">
        <f t="shared" si="48"/>
        <v>0.49587179851153435</v>
      </c>
      <c r="BE25" s="178">
        <f t="shared" si="26"/>
        <v>0.77658917792979265</v>
      </c>
      <c r="BF25" s="178">
        <f t="shared" si="27"/>
        <v>0.4853682362061203</v>
      </c>
      <c r="BG25" s="178"/>
      <c r="BH25" s="543">
        <f t="shared" si="28"/>
        <v>2.7047772461497008E-2</v>
      </c>
      <c r="BI25" s="543">
        <f t="shared" si="29"/>
        <v>7.1915836225410049E-2</v>
      </c>
      <c r="BJ25" s="543">
        <f t="shared" si="30"/>
        <v>1.7499999999999998E-2</v>
      </c>
      <c r="BK25" s="543">
        <f t="shared" si="31"/>
        <v>5.2216171874999995E-2</v>
      </c>
      <c r="BL25">
        <f t="shared" si="32"/>
        <v>3.9150000000000001E-3</v>
      </c>
      <c r="BM25" s="470">
        <f t="shared" si="49"/>
        <v>172.59478056190704</v>
      </c>
      <c r="BN25" s="178">
        <f t="shared" si="33"/>
        <v>6.4000000000000015E-2</v>
      </c>
      <c r="BO25" s="178">
        <f t="shared" si="34"/>
        <v>4.0000000000000008E-2</v>
      </c>
      <c r="BP25" s="543"/>
      <c r="BR25" s="470">
        <f t="shared" si="50"/>
        <v>104.00000000000003</v>
      </c>
      <c r="BS25" s="543">
        <f t="shared" si="35"/>
        <v>9.835553622362549E-3</v>
      </c>
      <c r="BT25" s="543">
        <f t="shared" si="51"/>
        <v>2.4123630051106848E-2</v>
      </c>
      <c r="BU25" s="543">
        <f t="shared" si="36"/>
        <v>7.0674697415352055E-3</v>
      </c>
      <c r="BV25" s="543">
        <f t="shared" si="37"/>
        <v>0</v>
      </c>
      <c r="BW25" s="648">
        <f t="shared" si="38"/>
        <v>3.3428571428571439E-2</v>
      </c>
      <c r="BX25" s="470">
        <f t="shared" si="52"/>
        <v>74.455224843576048</v>
      </c>
      <c r="BY25" s="178">
        <f t="shared" si="53"/>
        <v>0.35105000540548315</v>
      </c>
      <c r="BZ25" s="6">
        <f t="shared" si="54"/>
        <v>3.1200000000000006</v>
      </c>
      <c r="CA25" s="178">
        <f t="shared" si="55"/>
        <v>0.89886345490304342</v>
      </c>
      <c r="CB25" s="6">
        <f t="shared" si="56"/>
        <v>89.886345490304336</v>
      </c>
      <c r="CC25">
        <f t="shared" si="57"/>
        <v>20.000000000000004</v>
      </c>
      <c r="CE25" s="577">
        <f t="shared" si="39"/>
        <v>-50</v>
      </c>
      <c r="CF25">
        <f t="shared" si="40"/>
        <v>-50</v>
      </c>
    </row>
    <row r="26" spans="5:84" x14ac:dyDescent="0.2">
      <c r="E26" s="175">
        <v>21</v>
      </c>
      <c r="F26" s="222">
        <f t="shared" si="58"/>
        <v>0.16800000000000001</v>
      </c>
      <c r="G26" s="222">
        <f t="shared" si="41"/>
        <v>0.105</v>
      </c>
      <c r="H26" s="222">
        <f t="shared" si="0"/>
        <v>2.016</v>
      </c>
      <c r="I26" s="222">
        <f t="shared" si="59"/>
        <v>1.26</v>
      </c>
      <c r="J26" s="556">
        <f t="shared" si="1"/>
        <v>13.5</v>
      </c>
      <c r="K26" s="452">
        <f t="shared" si="2"/>
        <v>12.25</v>
      </c>
      <c r="L26" s="452">
        <f t="shared" si="3"/>
        <v>25.75</v>
      </c>
      <c r="M26" s="452"/>
      <c r="N26" s="222">
        <f t="shared" si="4"/>
        <v>0.47572815533980584</v>
      </c>
      <c r="O26" s="177">
        <f t="shared" si="42"/>
        <v>7.6969156086631818</v>
      </c>
      <c r="P26" s="177">
        <f t="shared" si="5"/>
        <v>7.8171799150485421</v>
      </c>
      <c r="Q26" s="222">
        <f t="shared" si="6"/>
        <v>0.64140963405526519</v>
      </c>
      <c r="R26" s="222">
        <f t="shared" si="7"/>
        <v>0.64140963405526519</v>
      </c>
      <c r="S26" s="452">
        <f t="shared" si="8"/>
        <v>12</v>
      </c>
      <c r="T26" s="222">
        <f t="shared" si="9"/>
        <v>1.0738847117794486</v>
      </c>
      <c r="U26" s="222">
        <f t="shared" si="10"/>
        <v>0.55682910981156597</v>
      </c>
      <c r="V26" s="222">
        <f t="shared" si="11"/>
        <v>0.61364840673111354</v>
      </c>
      <c r="W26" s="202">
        <f t="shared" si="12"/>
        <v>350</v>
      </c>
      <c r="X26" s="452">
        <f t="shared" si="43"/>
        <v>350</v>
      </c>
      <c r="Z26" s="222">
        <f t="shared" si="13"/>
        <v>2.6213592233009715</v>
      </c>
      <c r="AA26" s="178">
        <f t="shared" si="14"/>
        <v>1.4979195561719838</v>
      </c>
      <c r="AB26" s="178">
        <f t="shared" si="15"/>
        <v>0.68715241775850722</v>
      </c>
      <c r="AC26" s="178"/>
      <c r="AD26" s="178">
        <f t="shared" si="16"/>
        <v>0.46857142857142853</v>
      </c>
      <c r="AE26" s="560">
        <f t="shared" si="17"/>
        <v>874.47947650208232</v>
      </c>
      <c r="AF26" s="543">
        <f t="shared" si="18"/>
        <v>6.723999999999998E-2</v>
      </c>
      <c r="AH26" s="178">
        <f t="shared" si="19"/>
        <v>1.6353243452861925</v>
      </c>
      <c r="AI26" s="178">
        <f t="shared" si="20"/>
        <v>1.6353243452861925</v>
      </c>
      <c r="AJ26" s="178">
        <f t="shared" si="21"/>
        <v>1.8039439594712536</v>
      </c>
      <c r="AL26" s="560">
        <f t="shared" si="22"/>
        <v>168</v>
      </c>
      <c r="AM26" s="470">
        <f t="shared" si="23"/>
        <v>350</v>
      </c>
      <c r="AO26">
        <f t="shared" si="44"/>
        <v>168</v>
      </c>
      <c r="AP26" s="470">
        <f t="shared" si="24"/>
        <v>350</v>
      </c>
      <c r="AQ26" s="470"/>
      <c r="AR26" s="6">
        <f t="shared" si="45"/>
        <v>2.8571428571428572</v>
      </c>
      <c r="AS26" s="6">
        <f t="shared" si="25"/>
        <v>0.8479459568150628</v>
      </c>
      <c r="AT26" s="6">
        <f t="shared" si="46"/>
        <v>2.0091969003277943</v>
      </c>
      <c r="AU26" s="178">
        <f t="shared" si="47"/>
        <v>0.296781084885272</v>
      </c>
      <c r="AW26" s="6">
        <f>L*Iout^2/(2*Vripple1_spec*Vout*Npri_sec1^2)*1000000000*((1+N26)/(1-N26))^2</f>
        <v>12.324950464868163</v>
      </c>
      <c r="AX26" s="6">
        <f>L*F26^2/(2*Cout*Vout*Nps^2)*1000000000*((1+N26)/(1-N26))^2+F26*RCoutEsr</f>
        <v>1.8917369757464322</v>
      </c>
      <c r="AY26" s="6">
        <f>L*Iout2^2/(2*Vripple2_spec*Vout2*Npri_sec2^2)*1000000000*((1+N26)/(1-N26))^2</f>
        <v>4.8144337753391264</v>
      </c>
      <c r="AZ26" s="6">
        <f>L*G26^2/(2*Cout2*Vout2*Npri_sec2^2)*1000000000*((1+N26)/(1-N26))^2+G26*CoutEsr2</f>
        <v>0.85708475615094981</v>
      </c>
      <c r="BA26" s="6">
        <f>(H26+I26)/Efficiency/J26*AT26/Vinripple1</f>
        <v>0.76033546117667805</v>
      </c>
      <c r="BB26" s="470">
        <f>((BZ26/J26/Efficiency)*AT26/Cin+(BZ26/J26/Efficiency)*RCinEsr)*1000</f>
        <v>52.088959418899456</v>
      </c>
      <c r="BC26" s="6"/>
      <c r="BD26" s="178">
        <f t="shared" si="48"/>
        <v>0.51435312629194696</v>
      </c>
      <c r="BE26" s="178">
        <f t="shared" si="26"/>
        <v>0.79175086542565387</v>
      </c>
      <c r="BF26" s="178">
        <f t="shared" si="27"/>
        <v>0.4948442908910336</v>
      </c>
      <c r="BG26" s="178"/>
      <c r="BH26" s="543">
        <f t="shared" si="28"/>
        <v>2.9101505237892948E-2</v>
      </c>
      <c r="BI26" s="543">
        <f t="shared" si="29"/>
        <v>7.3691803309459056E-2</v>
      </c>
      <c r="BJ26" s="543">
        <f t="shared" si="30"/>
        <v>1.7499999999999998E-2</v>
      </c>
      <c r="BK26" s="543">
        <f t="shared" si="31"/>
        <v>5.2216171874999995E-2</v>
      </c>
      <c r="BL26">
        <f t="shared" si="32"/>
        <v>3.9150000000000001E-3</v>
      </c>
      <c r="BM26" s="470">
        <f t="shared" si="49"/>
        <v>176.42448042235199</v>
      </c>
      <c r="BN26" s="178">
        <f t="shared" si="33"/>
        <v>6.720000000000001E-2</v>
      </c>
      <c r="BO26" s="178">
        <f t="shared" si="34"/>
        <v>4.2000000000000003E-2</v>
      </c>
      <c r="BP26" s="543"/>
      <c r="BR26" s="470">
        <f t="shared" si="50"/>
        <v>109.20000000000002</v>
      </c>
      <c r="BS26" s="543">
        <f t="shared" si="35"/>
        <v>1.0582365541051981E-2</v>
      </c>
      <c r="BT26" s="543">
        <f t="shared" si="51"/>
        <v>2.5074777316090872E-2</v>
      </c>
      <c r="BU26" s="543">
        <f t="shared" si="36"/>
        <v>7.3461261668234966E-3</v>
      </c>
      <c r="BV26" s="543">
        <f t="shared" si="37"/>
        <v>0</v>
      </c>
      <c r="BW26" s="648">
        <f t="shared" si="38"/>
        <v>3.5100000000000006E-2</v>
      </c>
      <c r="BX26" s="470">
        <f t="shared" si="52"/>
        <v>78.103269023966362</v>
      </c>
      <c r="BY26" s="178">
        <f t="shared" si="53"/>
        <v>0.36372774944631836</v>
      </c>
      <c r="BZ26" s="6">
        <f t="shared" si="54"/>
        <v>3.2759999999999998</v>
      </c>
      <c r="CA26" s="178">
        <f t="shared" si="55"/>
        <v>0.90006731973245824</v>
      </c>
      <c r="CB26" s="6">
        <f t="shared" si="56"/>
        <v>90.00673197324582</v>
      </c>
      <c r="CC26">
        <f t="shared" si="57"/>
        <v>21</v>
      </c>
      <c r="CE26" s="577">
        <f t="shared" si="39"/>
        <v>-50</v>
      </c>
      <c r="CF26">
        <f t="shared" si="40"/>
        <v>-50</v>
      </c>
    </row>
    <row r="27" spans="5:84" x14ac:dyDescent="0.2">
      <c r="E27" s="175">
        <v>22</v>
      </c>
      <c r="F27" s="222">
        <f t="shared" si="58"/>
        <v>0.17600000000000002</v>
      </c>
      <c r="G27" s="222">
        <f t="shared" si="41"/>
        <v>0.11</v>
      </c>
      <c r="H27" s="222">
        <f t="shared" si="0"/>
        <v>2.1120000000000001</v>
      </c>
      <c r="I27" s="222">
        <f t="shared" si="59"/>
        <v>1.32</v>
      </c>
      <c r="J27" s="556">
        <f t="shared" si="1"/>
        <v>13.5</v>
      </c>
      <c r="K27" s="452">
        <f t="shared" si="2"/>
        <v>12.25</v>
      </c>
      <c r="L27" s="452">
        <f t="shared" si="3"/>
        <v>25.75</v>
      </c>
      <c r="M27" s="452"/>
      <c r="N27" s="222">
        <f t="shared" si="4"/>
        <v>0.47572815533980584</v>
      </c>
      <c r="O27" s="177">
        <f t="shared" si="42"/>
        <v>7.6969156086631818</v>
      </c>
      <c r="P27" s="177">
        <f t="shared" si="5"/>
        <v>7.8171799150485421</v>
      </c>
      <c r="Q27" s="222">
        <f t="shared" si="6"/>
        <v>0.64140963405526519</v>
      </c>
      <c r="R27" s="222">
        <f t="shared" si="7"/>
        <v>0.64140963405526519</v>
      </c>
      <c r="S27" s="452">
        <f t="shared" si="8"/>
        <v>12</v>
      </c>
      <c r="T27" s="222">
        <f t="shared" si="9"/>
        <v>1.1250220790070415</v>
      </c>
      <c r="U27" s="222">
        <f t="shared" si="10"/>
        <v>0.58334478170735482</v>
      </c>
      <c r="V27" s="222">
        <f t="shared" si="11"/>
        <v>0.64286975943259506</v>
      </c>
      <c r="W27" s="202">
        <f t="shared" si="12"/>
        <v>350</v>
      </c>
      <c r="X27" s="452">
        <f t="shared" si="43"/>
        <v>350</v>
      </c>
      <c r="Z27" s="222">
        <f t="shared" si="13"/>
        <v>2.6213592233009715</v>
      </c>
      <c r="AA27" s="178">
        <f t="shared" si="14"/>
        <v>1.4979195561719838</v>
      </c>
      <c r="AB27" s="178">
        <f t="shared" si="15"/>
        <v>0.68715241775850722</v>
      </c>
      <c r="AC27" s="178"/>
      <c r="AD27" s="178">
        <f t="shared" si="16"/>
        <v>0.46857142857142853</v>
      </c>
      <c r="AE27" s="560">
        <f t="shared" si="17"/>
        <v>916.12135633551475</v>
      </c>
      <c r="AF27" s="543">
        <f t="shared" si="18"/>
        <v>6.723999999999998E-2</v>
      </c>
      <c r="AH27" s="178">
        <f t="shared" si="19"/>
        <v>1.6738078303859212</v>
      </c>
      <c r="AI27" s="178">
        <f t="shared" si="20"/>
        <v>1.6738078303859212</v>
      </c>
      <c r="AJ27" s="178">
        <f t="shared" si="21"/>
        <v>1.8324502447303119</v>
      </c>
      <c r="AL27" s="560">
        <f t="shared" si="22"/>
        <v>176.00000000000003</v>
      </c>
      <c r="AM27" s="470">
        <f t="shared" si="23"/>
        <v>350</v>
      </c>
      <c r="AO27">
        <f t="shared" si="44"/>
        <v>176.00000000000003</v>
      </c>
      <c r="AP27" s="470">
        <f t="shared" si="24"/>
        <v>350</v>
      </c>
      <c r="AQ27" s="470"/>
      <c r="AR27" s="6">
        <f t="shared" si="45"/>
        <v>2.8571428571428572</v>
      </c>
      <c r="AS27" s="6">
        <f t="shared" si="25"/>
        <v>0.86790035649640351</v>
      </c>
      <c r="AT27" s="6">
        <f t="shared" si="46"/>
        <v>1.9892425006464536</v>
      </c>
      <c r="AU27" s="178">
        <f t="shared" si="47"/>
        <v>0.30376512477374124</v>
      </c>
      <c r="AW27" s="6">
        <f>L*Iout^2/(2*Vripple1_spec*Vout*Npri_sec1^2)*1000000000*((1+N27)/(1-N27))^2</f>
        <v>12.324950464868163</v>
      </c>
      <c r="AX27" s="6">
        <f>L*F27^2/(2*Cout*Vout*Nps^2)*1000000000*((1+N27)/(1-N27))^2+F27*RCoutEsr</f>
        <v>2.0510491978713681</v>
      </c>
      <c r="AY27" s="6">
        <f>L*Iout2^2/(2*Vripple2_spec*Vout2*Npri_sec2^2)*1000000000*((1+N27)/(1-N27))^2</f>
        <v>4.8144337753391264</v>
      </c>
      <c r="AZ27" s="6">
        <f>L*G27^2/(2*Cout2*Vout2*Npri_sec2^2)*1000000000*((1+N27)/(1-N27))^2+G27*CoutEsr2</f>
        <v>0.92494109291850313</v>
      </c>
      <c r="BA27" s="6">
        <f>(H27+I27)/Efficiency/J27*AT27/Vinripple1</f>
        <v>0.78863103166196002</v>
      </c>
      <c r="BB27" s="470">
        <f>((BZ27/J27/Efficiency)*AT27/Cin+(BZ27/J27/Efficiency)*RCinEsr)*1000</f>
        <v>54.035401654726151</v>
      </c>
      <c r="BC27" s="6"/>
      <c r="BD27" s="178">
        <f t="shared" si="48"/>
        <v>0.53261565017290868</v>
      </c>
      <c r="BE27" s="178">
        <f t="shared" si="26"/>
        <v>0.80634863440778393</v>
      </c>
      <c r="BF27" s="178">
        <f t="shared" si="27"/>
        <v>0.50396789650486484</v>
      </c>
      <c r="BG27" s="178"/>
      <c r="BH27" s="543">
        <f t="shared" si="28"/>
        <v>3.1204737389002125E-2</v>
      </c>
      <c r="BI27" s="543">
        <f t="shared" si="29"/>
        <v>7.5425965356765573E-2</v>
      </c>
      <c r="BJ27" s="543">
        <f t="shared" si="30"/>
        <v>1.7499999999999998E-2</v>
      </c>
      <c r="BK27" s="543">
        <f t="shared" si="31"/>
        <v>5.2216171874999995E-2</v>
      </c>
      <c r="BL27">
        <f t="shared" si="32"/>
        <v>3.9150000000000001E-3</v>
      </c>
      <c r="BM27" s="470">
        <f t="shared" si="49"/>
        <v>180.26187462076771</v>
      </c>
      <c r="BN27" s="178">
        <f t="shared" si="33"/>
        <v>7.0400000000000004E-2</v>
      </c>
      <c r="BO27" s="178">
        <f t="shared" si="34"/>
        <v>4.4000000000000004E-2</v>
      </c>
      <c r="BP27" s="543"/>
      <c r="BR27" s="470">
        <f t="shared" si="50"/>
        <v>114.4</v>
      </c>
      <c r="BS27" s="543">
        <f t="shared" si="35"/>
        <v>1.1347177232364409E-2</v>
      </c>
      <c r="BT27" s="543">
        <f t="shared" si="51"/>
        <v>2.6007924808451918E-2</v>
      </c>
      <c r="BU27" s="543">
        <f t="shared" si="36"/>
        <v>7.6195092212261442E-3</v>
      </c>
      <c r="BV27" s="543">
        <f t="shared" si="37"/>
        <v>0</v>
      </c>
      <c r="BW27" s="648">
        <f t="shared" si="38"/>
        <v>3.677142857142858E-2</v>
      </c>
      <c r="BX27" s="470">
        <f t="shared" si="52"/>
        <v>81.746039833471045</v>
      </c>
      <c r="BY27" s="178">
        <f t="shared" si="53"/>
        <v>0.37640791445423871</v>
      </c>
      <c r="BZ27" s="6">
        <f t="shared" si="54"/>
        <v>3.4320000000000004</v>
      </c>
      <c r="CA27" s="178">
        <f t="shared" si="55"/>
        <v>0.90116397116347768</v>
      </c>
      <c r="CB27" s="6">
        <f t="shared" si="56"/>
        <v>90.11639711634777</v>
      </c>
      <c r="CC27">
        <f t="shared" si="57"/>
        <v>22</v>
      </c>
      <c r="CE27" s="577">
        <f t="shared" si="39"/>
        <v>-50</v>
      </c>
      <c r="CF27">
        <f t="shared" si="40"/>
        <v>-50</v>
      </c>
    </row>
    <row r="28" spans="5:84" x14ac:dyDescent="0.2">
      <c r="E28" s="175">
        <v>23</v>
      </c>
      <c r="F28" s="222">
        <f t="shared" si="58"/>
        <v>0.18400000000000002</v>
      </c>
      <c r="G28" s="222">
        <f t="shared" si="41"/>
        <v>0.115</v>
      </c>
      <c r="H28" s="222">
        <f t="shared" si="0"/>
        <v>2.2080000000000002</v>
      </c>
      <c r="I28" s="222">
        <f t="shared" si="59"/>
        <v>1.3800000000000001</v>
      </c>
      <c r="J28" s="556">
        <f t="shared" si="1"/>
        <v>13.5</v>
      </c>
      <c r="K28" s="452">
        <f t="shared" si="2"/>
        <v>12.25</v>
      </c>
      <c r="L28" s="452">
        <f t="shared" si="3"/>
        <v>25.75</v>
      </c>
      <c r="M28" s="452"/>
      <c r="N28" s="222">
        <f t="shared" si="4"/>
        <v>0.47572815533980584</v>
      </c>
      <c r="O28" s="177">
        <f t="shared" si="42"/>
        <v>7.6969156086631818</v>
      </c>
      <c r="P28" s="177">
        <f t="shared" si="5"/>
        <v>7.8171799150485421</v>
      </c>
      <c r="Q28" s="222">
        <f t="shared" si="6"/>
        <v>0.64140963405526519</v>
      </c>
      <c r="R28" s="222">
        <f t="shared" si="7"/>
        <v>0.64140963405526519</v>
      </c>
      <c r="S28" s="452">
        <f t="shared" si="8"/>
        <v>12</v>
      </c>
      <c r="T28" s="222">
        <f t="shared" si="9"/>
        <v>1.1761594462346343</v>
      </c>
      <c r="U28" s="222">
        <f t="shared" si="10"/>
        <v>0.60986045360314378</v>
      </c>
      <c r="V28" s="222">
        <f t="shared" si="11"/>
        <v>0.6720911121340768</v>
      </c>
      <c r="W28" s="202">
        <f t="shared" si="12"/>
        <v>350</v>
      </c>
      <c r="X28" s="452">
        <f t="shared" si="43"/>
        <v>350</v>
      </c>
      <c r="Z28" s="222">
        <f t="shared" si="13"/>
        <v>2.6213592233009715</v>
      </c>
      <c r="AA28" s="178">
        <f t="shared" si="14"/>
        <v>1.4979195561719838</v>
      </c>
      <c r="AB28" s="178">
        <f t="shared" si="15"/>
        <v>0.68715241775850722</v>
      </c>
      <c r="AC28" s="178"/>
      <c r="AD28" s="178">
        <f t="shared" si="16"/>
        <v>0.46857142857142853</v>
      </c>
      <c r="AE28" s="560">
        <f t="shared" si="17"/>
        <v>957.76323616894729</v>
      </c>
      <c r="AF28" s="543">
        <f t="shared" si="18"/>
        <v>6.723999999999998E-2</v>
      </c>
      <c r="AH28" s="178">
        <f t="shared" si="19"/>
        <v>1.7114261864996501</v>
      </c>
      <c r="AI28" s="178">
        <f t="shared" si="20"/>
        <v>1.7114261864996501</v>
      </c>
      <c r="AJ28" s="178">
        <f t="shared" si="21"/>
        <v>1.8603156937034444</v>
      </c>
      <c r="AL28" s="560">
        <f t="shared" si="22"/>
        <v>184.00000000000003</v>
      </c>
      <c r="AM28" s="470">
        <f t="shared" si="23"/>
        <v>350</v>
      </c>
      <c r="AO28">
        <f t="shared" si="44"/>
        <v>184.00000000000003</v>
      </c>
      <c r="AP28" s="470">
        <f t="shared" si="24"/>
        <v>350</v>
      </c>
      <c r="AQ28" s="470"/>
      <c r="AR28" s="6">
        <f t="shared" si="45"/>
        <v>2.8571428571428572</v>
      </c>
      <c r="AS28" s="6">
        <f t="shared" si="25"/>
        <v>0.88740617077759631</v>
      </c>
      <c r="AT28" s="6">
        <f t="shared" si="46"/>
        <v>1.9697366863652608</v>
      </c>
      <c r="AU28" s="178">
        <f t="shared" si="47"/>
        <v>0.3105921597721587</v>
      </c>
      <c r="AW28" s="6">
        <f>L*Iout^2/(2*Vripple1_spec*Vout*Npri_sec1^2)*1000000000*((1+N28)/(1-N28))^2</f>
        <v>12.324950464868163</v>
      </c>
      <c r="AX28" s="6">
        <f>L*F28^2/(2*Cout*Vout*Nps^2)*1000000000*((1+N28)/(1-N28))^2+F28*RCoutEsr</f>
        <v>2.216655011723045</v>
      </c>
      <c r="AY28" s="6">
        <f>L*Iout2^2/(2*Vripple2_spec*Vout2*Npri_sec2^2)*1000000000*((1+N28)/(1-N28))^2</f>
        <v>4.8144337753391264</v>
      </c>
      <c r="AZ28" s="6">
        <f>L*G28^2/(2*Cout2*Vout2*Npri_sec2^2)*1000000000*((1+N28)/(1-N28))^2+G28*CoutEsr2</f>
        <v>0.99525586395431431</v>
      </c>
      <c r="BA28" s="6">
        <f>(H28+I28)/Efficiency/J28*AT28/Vinripple1</f>
        <v>0.81639335564837834</v>
      </c>
      <c r="BB28" s="470">
        <f>((BZ28/J28/Efficiency)*AT28/Cin+(BZ28/J28/Efficiency)*RCinEsr)*1000</f>
        <v>55.945849751879585</v>
      </c>
      <c r="BC28" s="6"/>
      <c r="BD28" s="178">
        <f t="shared" si="48"/>
        <v>0.55067174050037815</v>
      </c>
      <c r="BE28" s="178">
        <f t="shared" si="26"/>
        <v>0.82041889594677742</v>
      </c>
      <c r="BF28" s="178">
        <f t="shared" si="27"/>
        <v>0.51276180996673582</v>
      </c>
      <c r="BG28" s="178"/>
      <c r="BH28" s="543">
        <f t="shared" si="28"/>
        <v>3.3356330236428741E-2</v>
      </c>
      <c r="BI28" s="543">
        <f t="shared" si="29"/>
        <v>7.7121142529140485E-2</v>
      </c>
      <c r="BJ28" s="543">
        <f t="shared" si="30"/>
        <v>1.7499999999999998E-2</v>
      </c>
      <c r="BK28" s="543">
        <f t="shared" si="31"/>
        <v>5.2216171874999995E-2</v>
      </c>
      <c r="BL28">
        <f t="shared" si="32"/>
        <v>3.9150000000000001E-3</v>
      </c>
      <c r="BM28" s="470">
        <f t="shared" si="49"/>
        <v>184.10864464056922</v>
      </c>
      <c r="BN28" s="178">
        <f t="shared" si="33"/>
        <v>7.3600000000000013E-2</v>
      </c>
      <c r="BO28" s="178">
        <f t="shared" si="34"/>
        <v>4.6000000000000006E-2</v>
      </c>
      <c r="BP28" s="543"/>
      <c r="BR28" s="470">
        <f t="shared" si="50"/>
        <v>119.60000000000001</v>
      </c>
      <c r="BS28" s="543">
        <f t="shared" si="35"/>
        <v>1.2129574631428632E-2</v>
      </c>
      <c r="BT28" s="543">
        <f t="shared" si="51"/>
        <v>2.692348659306117E-2</v>
      </c>
      <c r="BU28" s="543">
        <f t="shared" si="36"/>
        <v>7.887740212810886E-3</v>
      </c>
      <c r="BV28" s="543">
        <f t="shared" si="37"/>
        <v>0</v>
      </c>
      <c r="BW28" s="648">
        <f t="shared" si="38"/>
        <v>3.8442857142857154E-2</v>
      </c>
      <c r="BX28" s="470">
        <f t="shared" si="52"/>
        <v>85.383658580157842</v>
      </c>
      <c r="BY28" s="178">
        <f t="shared" si="53"/>
        <v>0.38909230322072708</v>
      </c>
      <c r="BZ28" s="6">
        <f t="shared" si="54"/>
        <v>3.5880000000000001</v>
      </c>
      <c r="CA28" s="178">
        <f t="shared" si="55"/>
        <v>0.90216663995813418</v>
      </c>
      <c r="CB28" s="6">
        <f t="shared" si="56"/>
        <v>90.21666399581342</v>
      </c>
      <c r="CC28">
        <f t="shared" si="57"/>
        <v>23</v>
      </c>
      <c r="CE28" s="577">
        <f t="shared" si="39"/>
        <v>-50</v>
      </c>
      <c r="CF28">
        <f t="shared" si="40"/>
        <v>-50</v>
      </c>
    </row>
    <row r="29" spans="5:84" x14ac:dyDescent="0.2">
      <c r="E29" s="175">
        <v>24</v>
      </c>
      <c r="F29" s="222">
        <f t="shared" si="58"/>
        <v>0.192</v>
      </c>
      <c r="G29" s="222">
        <f t="shared" si="41"/>
        <v>0.12</v>
      </c>
      <c r="H29" s="222">
        <f t="shared" si="0"/>
        <v>2.3040000000000003</v>
      </c>
      <c r="I29" s="222">
        <f t="shared" si="59"/>
        <v>1.44</v>
      </c>
      <c r="J29" s="556">
        <f t="shared" si="1"/>
        <v>13.5</v>
      </c>
      <c r="K29" s="452">
        <f t="shared" si="2"/>
        <v>12.25</v>
      </c>
      <c r="L29" s="452">
        <f t="shared" si="3"/>
        <v>25.75</v>
      </c>
      <c r="M29" s="452"/>
      <c r="N29" s="222">
        <f t="shared" si="4"/>
        <v>0.47572815533980584</v>
      </c>
      <c r="O29" s="177">
        <f t="shared" si="42"/>
        <v>7.6969156086631818</v>
      </c>
      <c r="P29" s="177">
        <f t="shared" si="5"/>
        <v>7.8171799150485421</v>
      </c>
      <c r="Q29" s="222">
        <f t="shared" si="6"/>
        <v>0.64140963405526519</v>
      </c>
      <c r="R29" s="222">
        <f t="shared" si="7"/>
        <v>0.64140963405526519</v>
      </c>
      <c r="S29" s="452">
        <f t="shared" si="8"/>
        <v>12</v>
      </c>
      <c r="T29" s="222">
        <f t="shared" si="9"/>
        <v>1.2272968134622271</v>
      </c>
      <c r="U29" s="222">
        <f t="shared" si="10"/>
        <v>0.63637612549893252</v>
      </c>
      <c r="V29" s="222">
        <f t="shared" si="11"/>
        <v>0.70131246483555831</v>
      </c>
      <c r="W29" s="202">
        <f t="shared" si="12"/>
        <v>350</v>
      </c>
      <c r="X29" s="452">
        <f t="shared" si="43"/>
        <v>350</v>
      </c>
      <c r="Z29" s="222">
        <f t="shared" si="13"/>
        <v>2.6213592233009715</v>
      </c>
      <c r="AA29" s="178">
        <f t="shared" si="14"/>
        <v>1.4979195561719838</v>
      </c>
      <c r="AB29" s="178">
        <f t="shared" si="15"/>
        <v>0.68715241775850722</v>
      </c>
      <c r="AC29" s="178"/>
      <c r="AD29" s="178">
        <f t="shared" si="16"/>
        <v>0.46857142857142853</v>
      </c>
      <c r="AE29" s="560">
        <f t="shared" si="17"/>
        <v>999.40511600237983</v>
      </c>
      <c r="AF29" s="543">
        <f t="shared" si="18"/>
        <v>6.723999999999998E-2</v>
      </c>
      <c r="AH29" s="178">
        <f t="shared" si="19"/>
        <v>1.7482352618032404</v>
      </c>
      <c r="AI29" s="178">
        <f t="shared" si="20"/>
        <v>1.7482352618032404</v>
      </c>
      <c r="AJ29" s="178">
        <f t="shared" si="21"/>
        <v>1.8875816754098076</v>
      </c>
      <c r="AL29" s="560">
        <f t="shared" si="22"/>
        <v>192</v>
      </c>
      <c r="AM29" s="470">
        <f t="shared" si="23"/>
        <v>350</v>
      </c>
      <c r="AO29">
        <f t="shared" si="44"/>
        <v>192</v>
      </c>
      <c r="AP29" s="470">
        <f t="shared" si="24"/>
        <v>350</v>
      </c>
      <c r="AQ29" s="470"/>
      <c r="AR29" s="6">
        <f t="shared" si="45"/>
        <v>2.8571428571428572</v>
      </c>
      <c r="AS29" s="6">
        <f t="shared" si="25"/>
        <v>0.90649235797205063</v>
      </c>
      <c r="AT29" s="6">
        <f t="shared" si="46"/>
        <v>1.9506504991708065</v>
      </c>
      <c r="AU29" s="178">
        <f t="shared" si="47"/>
        <v>0.3172723252902177</v>
      </c>
      <c r="AW29" s="6">
        <f>L*Iout^2/(2*Vripple1_spec*Vout*Npri_sec1^2)*1000000000*((1+N29)/(1-N29))^2</f>
        <v>12.324950464868163</v>
      </c>
      <c r="AX29" s="6">
        <f>L*F29^2/(2*Cout*Vout*Nps^2)*1000000000*((1+N29)/(1-N29))^2+F29*RCoutEsr</f>
        <v>2.3885544173014628</v>
      </c>
      <c r="AY29" s="6">
        <f>L*Iout2^2/(2*Vripple2_spec*Vout2*Npri_sec2^2)*1000000000*((1+N29)/(1-N29))^2</f>
        <v>4.8144337753391264</v>
      </c>
      <c r="AZ29" s="6">
        <f>L*G29^2/(2*Cout2*Vout2*Npri_sec2^2)*1000000000*((1+N29)/(1-N29))^2+G29*CoutEsr2</f>
        <v>1.0680290692583836</v>
      </c>
      <c r="BA29" s="6">
        <f>(H29+I29)/Efficiency/J29*AT29/Vinripple1</f>
        <v>0.84363416000525582</v>
      </c>
      <c r="BB29" s="470">
        <f>((BZ29/J29/Efficiency)*AT29/Cin+(BZ29/J29/Efficiency)*RCinEsr)*1000</f>
        <v>57.821095274038996</v>
      </c>
      <c r="BC29" s="6"/>
      <c r="BD29" s="178">
        <f t="shared" si="48"/>
        <v>0.56853256289431375</v>
      </c>
      <c r="BE29" s="178">
        <f t="shared" si="26"/>
        <v>0.83399414574258535</v>
      </c>
      <c r="BF29" s="178">
        <f t="shared" si="27"/>
        <v>0.52124634108911572</v>
      </c>
      <c r="BG29" s="178"/>
      <c r="BH29" s="543">
        <f t="shared" si="28"/>
        <v>3.5555220257829451E-2</v>
      </c>
      <c r="BI29" s="543">
        <f t="shared" si="29"/>
        <v>7.8779851485008531E-2</v>
      </c>
      <c r="BJ29" s="543">
        <f t="shared" si="30"/>
        <v>1.7499999999999998E-2</v>
      </c>
      <c r="BK29" s="543">
        <f t="shared" si="31"/>
        <v>5.2216171874999995E-2</v>
      </c>
      <c r="BL29">
        <f t="shared" si="32"/>
        <v>3.9150000000000001E-3</v>
      </c>
      <c r="BM29" s="470">
        <f t="shared" si="49"/>
        <v>187.96624361783799</v>
      </c>
      <c r="BN29" s="178">
        <f t="shared" si="33"/>
        <v>7.6800000000000007E-2</v>
      </c>
      <c r="BO29" s="178">
        <f t="shared" si="34"/>
        <v>4.8000000000000001E-2</v>
      </c>
      <c r="BP29" s="543"/>
      <c r="BR29" s="470">
        <f t="shared" si="50"/>
        <v>124.80000000000001</v>
      </c>
      <c r="BS29" s="543">
        <f t="shared" si="35"/>
        <v>1.2929171002847073E-2</v>
      </c>
      <c r="BT29" s="543">
        <f t="shared" si="51"/>
        <v>2.782184940531619E-2</v>
      </c>
      <c r="BU29" s="543">
        <f t="shared" si="36"/>
        <v>8.1509324429637226E-3</v>
      </c>
      <c r="BV29" s="543">
        <f t="shared" si="37"/>
        <v>0</v>
      </c>
      <c r="BW29" s="648">
        <f t="shared" si="38"/>
        <v>4.0114285714285713E-2</v>
      </c>
      <c r="BX29" s="470">
        <f t="shared" si="52"/>
        <v>89.016238565412706</v>
      </c>
      <c r="BY29" s="178">
        <f t="shared" si="53"/>
        <v>0.40178248218325063</v>
      </c>
      <c r="BZ29" s="6">
        <f t="shared" si="54"/>
        <v>3.7440000000000002</v>
      </c>
      <c r="CA29" s="178">
        <f t="shared" si="55"/>
        <v>0.90308645378527808</v>
      </c>
      <c r="CB29" s="6">
        <f t="shared" si="56"/>
        <v>90.308645378527814</v>
      </c>
      <c r="CC29">
        <f t="shared" si="57"/>
        <v>24</v>
      </c>
      <c r="CE29" s="577">
        <f t="shared" si="39"/>
        <v>-50</v>
      </c>
      <c r="CF29">
        <f t="shared" si="40"/>
        <v>-50</v>
      </c>
    </row>
    <row r="30" spans="5:84" x14ac:dyDescent="0.2">
      <c r="E30" s="175">
        <v>25</v>
      </c>
      <c r="F30" s="222">
        <f t="shared" si="58"/>
        <v>0.2</v>
      </c>
      <c r="G30" s="222">
        <f t="shared" si="41"/>
        <v>0.125</v>
      </c>
      <c r="H30" s="222">
        <f t="shared" si="0"/>
        <v>2.4000000000000004</v>
      </c>
      <c r="I30" s="222">
        <f t="shared" si="59"/>
        <v>1.5</v>
      </c>
      <c r="J30" s="556">
        <f t="shared" si="1"/>
        <v>13.5</v>
      </c>
      <c r="K30" s="452">
        <f t="shared" si="2"/>
        <v>12.25</v>
      </c>
      <c r="L30" s="452">
        <f t="shared" si="3"/>
        <v>25.75</v>
      </c>
      <c r="M30" s="452"/>
      <c r="N30" s="222">
        <f t="shared" si="4"/>
        <v>0.47572815533980584</v>
      </c>
      <c r="O30" s="177">
        <f t="shared" si="42"/>
        <v>7.6969156086631818</v>
      </c>
      <c r="P30" s="177">
        <f t="shared" si="5"/>
        <v>7.8171799150485421</v>
      </c>
      <c r="Q30" s="222">
        <f t="shared" si="6"/>
        <v>0.64140963405526519</v>
      </c>
      <c r="R30" s="222">
        <f t="shared" si="7"/>
        <v>0.64140963405526519</v>
      </c>
      <c r="S30" s="452">
        <f t="shared" si="8"/>
        <v>12</v>
      </c>
      <c r="T30" s="222">
        <f t="shared" si="9"/>
        <v>1.2784341806898198</v>
      </c>
      <c r="U30" s="222">
        <f t="shared" si="10"/>
        <v>0.66289179739472137</v>
      </c>
      <c r="V30" s="222">
        <f t="shared" si="11"/>
        <v>0.73053381753703994</v>
      </c>
      <c r="W30" s="202">
        <f t="shared" si="12"/>
        <v>350</v>
      </c>
      <c r="X30" s="452">
        <f t="shared" si="43"/>
        <v>350</v>
      </c>
      <c r="Z30" s="222">
        <f t="shared" si="13"/>
        <v>2.6213592233009715</v>
      </c>
      <c r="AA30" s="178">
        <f t="shared" si="14"/>
        <v>1.4979195561719838</v>
      </c>
      <c r="AB30" s="178">
        <f t="shared" si="15"/>
        <v>0.68715241775850722</v>
      </c>
      <c r="AC30" s="178"/>
      <c r="AD30" s="178">
        <f t="shared" si="16"/>
        <v>0.46857142857142853</v>
      </c>
      <c r="AE30" s="560">
        <f t="shared" si="17"/>
        <v>1041.0469958358124</v>
      </c>
      <c r="AF30" s="543">
        <f t="shared" si="18"/>
        <v>6.723999999999998E-2</v>
      </c>
      <c r="AH30" s="178">
        <f t="shared" si="19"/>
        <v>1.7842851423995423</v>
      </c>
      <c r="AI30" s="178">
        <f t="shared" si="20"/>
        <v>1.7842851423995423</v>
      </c>
      <c r="AJ30" s="178">
        <f t="shared" si="21"/>
        <v>1.9142852906663277</v>
      </c>
      <c r="AL30" s="560">
        <f t="shared" si="22"/>
        <v>200</v>
      </c>
      <c r="AM30" s="470">
        <f t="shared" si="23"/>
        <v>350</v>
      </c>
      <c r="AO30">
        <f t="shared" si="44"/>
        <v>200</v>
      </c>
      <c r="AP30" s="470">
        <f t="shared" si="24"/>
        <v>350</v>
      </c>
      <c r="AQ30" s="470"/>
      <c r="AR30" s="6">
        <f t="shared" si="45"/>
        <v>2.8571428571428572</v>
      </c>
      <c r="AS30" s="6">
        <f t="shared" si="25"/>
        <v>0.92518488865161452</v>
      </c>
      <c r="AT30" s="6">
        <f t="shared" si="46"/>
        <v>1.9319579684912427</v>
      </c>
      <c r="AU30" s="178">
        <f t="shared" si="47"/>
        <v>0.32381471102806508</v>
      </c>
      <c r="AW30" s="6">
        <f>L*Iout^2/(2*Vripple1_spec*Vout*Npri_sec1^2)*1000000000*((1+N30)/(1-N30))^2</f>
        <v>12.324950464868163</v>
      </c>
      <c r="AX30" s="6">
        <f>L*F30^2/(2*Cout*Vout*Nps^2)*1000000000*((1+N30)/(1-N30))^2+F30*RCoutEsr</f>
        <v>2.5667474146066223</v>
      </c>
      <c r="AY30" s="6">
        <f>L*Iout2^2/(2*Vripple2_spec*Vout2*Npri_sec2^2)*1000000000*((1+N30)/(1-N30))^2</f>
        <v>4.8144337753391264</v>
      </c>
      <c r="AZ30" s="6">
        <f>L*G30^2/(2*Cout2*Vout2*Npri_sec2^2)*1000000000*((1+N30)/(1-N30))^2+G30*CoutEsr2</f>
        <v>1.1432607088307116</v>
      </c>
      <c r="BA30" s="6">
        <f>(H30+I30)/Efficiency/J30*AT30/Vinripple1</f>
        <v>0.87036443024946608</v>
      </c>
      <c r="BB30" s="470">
        <f>((BZ30/J30/Efficiency)*AT30/Cin+(BZ30/J30/Efficiency)*RCinEsr)*1000</f>
        <v>59.661879743593346</v>
      </c>
      <c r="BC30" s="6"/>
      <c r="BD30" s="178">
        <f t="shared" si="48"/>
        <v>0.58620824072949629</v>
      </c>
      <c r="BE30" s="178">
        <f t="shared" si="26"/>
        <v>0.84710352867683603</v>
      </c>
      <c r="BF30" s="178">
        <f t="shared" si="27"/>
        <v>0.52943970542302243</v>
      </c>
      <c r="BG30" s="178"/>
      <c r="BH30" s="543">
        <f t="shared" si="28"/>
        <v>3.7800411164908815E-2</v>
      </c>
      <c r="BI30" s="543">
        <f t="shared" si="29"/>
        <v>8.0404349229379377E-2</v>
      </c>
      <c r="BJ30" s="543">
        <f t="shared" si="30"/>
        <v>1.7499999999999998E-2</v>
      </c>
      <c r="BK30" s="543">
        <f t="shared" si="31"/>
        <v>5.2216171874999995E-2</v>
      </c>
      <c r="BL30">
        <f t="shared" si="32"/>
        <v>3.9150000000000001E-3</v>
      </c>
      <c r="BM30" s="470">
        <f t="shared" si="49"/>
        <v>191.83593226928818</v>
      </c>
      <c r="BN30" s="178">
        <f t="shared" si="33"/>
        <v>8.0000000000000016E-2</v>
      </c>
      <c r="BO30" s="178">
        <f t="shared" si="34"/>
        <v>0.05</v>
      </c>
      <c r="BP30" s="543"/>
      <c r="BR30" s="470">
        <f t="shared" si="50"/>
        <v>130</v>
      </c>
      <c r="BS30" s="543">
        <f t="shared" si="35"/>
        <v>1.3745604059966844E-2</v>
      </c>
      <c r="BT30" s="543">
        <f t="shared" si="51"/>
        <v>2.8703375531869888E-2</v>
      </c>
      <c r="BU30" s="543">
        <f t="shared" si="36"/>
        <v>8.4091920503525028E-3</v>
      </c>
      <c r="BV30" s="543">
        <f t="shared" si="37"/>
        <v>0</v>
      </c>
      <c r="BW30" s="648">
        <f t="shared" si="38"/>
        <v>4.1785714285714287E-2</v>
      </c>
      <c r="BX30" s="470">
        <f t="shared" si="52"/>
        <v>92.643885927903511</v>
      </c>
      <c r="BY30" s="178">
        <f t="shared" si="53"/>
        <v>0.41447981819719171</v>
      </c>
      <c r="BZ30" s="6">
        <f t="shared" si="54"/>
        <v>3.9000000000000004</v>
      </c>
      <c r="CA30" s="178">
        <f t="shared" si="55"/>
        <v>0.90393284111585381</v>
      </c>
      <c r="CB30" s="6">
        <f t="shared" si="56"/>
        <v>90.393284111585388</v>
      </c>
      <c r="CC30">
        <f t="shared" si="57"/>
        <v>25</v>
      </c>
      <c r="CE30" s="577">
        <f t="shared" si="39"/>
        <v>-50</v>
      </c>
      <c r="CF30">
        <f t="shared" si="40"/>
        <v>-50</v>
      </c>
    </row>
    <row r="31" spans="5:84" x14ac:dyDescent="0.2">
      <c r="E31" s="175">
        <v>26</v>
      </c>
      <c r="F31" s="222">
        <f t="shared" si="58"/>
        <v>0.20800000000000002</v>
      </c>
      <c r="G31" s="222">
        <f t="shared" si="41"/>
        <v>0.13</v>
      </c>
      <c r="H31" s="222">
        <f t="shared" si="0"/>
        <v>2.4960000000000004</v>
      </c>
      <c r="I31" s="222">
        <f t="shared" si="59"/>
        <v>1.56</v>
      </c>
      <c r="J31" s="556">
        <f t="shared" si="1"/>
        <v>13.5</v>
      </c>
      <c r="K31" s="452">
        <f t="shared" si="2"/>
        <v>12.25</v>
      </c>
      <c r="L31" s="452">
        <f t="shared" si="3"/>
        <v>25.75</v>
      </c>
      <c r="M31" s="452"/>
      <c r="N31" s="222">
        <f t="shared" si="4"/>
        <v>0.47572815533980584</v>
      </c>
      <c r="O31" s="177">
        <f t="shared" si="42"/>
        <v>7.6969156086631818</v>
      </c>
      <c r="P31" s="177">
        <f t="shared" si="5"/>
        <v>7.8171799150485421</v>
      </c>
      <c r="Q31" s="222">
        <f t="shared" si="6"/>
        <v>0.64140963405526519</v>
      </c>
      <c r="R31" s="222">
        <f t="shared" si="7"/>
        <v>0.64140963405526519</v>
      </c>
      <c r="S31" s="452">
        <f t="shared" si="8"/>
        <v>12</v>
      </c>
      <c r="T31" s="222">
        <f t="shared" si="9"/>
        <v>1.3295715479174128</v>
      </c>
      <c r="U31" s="222">
        <f t="shared" si="10"/>
        <v>0.68940746929051044</v>
      </c>
      <c r="V31" s="222">
        <f t="shared" si="11"/>
        <v>0.75975517023852168</v>
      </c>
      <c r="W31" s="202">
        <f t="shared" si="12"/>
        <v>350</v>
      </c>
      <c r="X31" s="452">
        <f t="shared" si="43"/>
        <v>350</v>
      </c>
      <c r="Z31" s="222">
        <f t="shared" si="13"/>
        <v>2.6213592233009715</v>
      </c>
      <c r="AA31" s="178">
        <f t="shared" si="14"/>
        <v>1.4979195561719838</v>
      </c>
      <c r="AB31" s="178">
        <f t="shared" si="15"/>
        <v>0.68715241775850722</v>
      </c>
      <c r="AC31" s="178"/>
      <c r="AD31" s="178">
        <f t="shared" si="16"/>
        <v>0.46857142857142853</v>
      </c>
      <c r="AE31" s="560">
        <f t="shared" si="17"/>
        <v>1082.6888756692449</v>
      </c>
      <c r="AF31" s="543">
        <f t="shared" si="18"/>
        <v>6.723999999999998E-2</v>
      </c>
      <c r="AH31" s="178">
        <f t="shared" si="19"/>
        <v>1.8196209517817896</v>
      </c>
      <c r="AI31" s="178">
        <f t="shared" si="20"/>
        <v>1.8196209517817896</v>
      </c>
      <c r="AJ31" s="178">
        <f t="shared" si="21"/>
        <v>1.9404599642828071</v>
      </c>
      <c r="AL31" s="560">
        <f t="shared" si="22"/>
        <v>208.00000000000003</v>
      </c>
      <c r="AM31" s="470">
        <f t="shared" si="23"/>
        <v>350</v>
      </c>
      <c r="AO31">
        <f t="shared" si="44"/>
        <v>208.00000000000003</v>
      </c>
      <c r="AP31" s="470">
        <f t="shared" si="24"/>
        <v>350</v>
      </c>
      <c r="AQ31" s="470"/>
      <c r="AR31" s="6">
        <f t="shared" si="45"/>
        <v>2.8571428571428572</v>
      </c>
      <c r="AS31" s="6">
        <f t="shared" si="25"/>
        <v>0.94350716018315006</v>
      </c>
      <c r="AT31" s="6">
        <f t="shared" si="46"/>
        <v>1.913635696959707</v>
      </c>
      <c r="AU31" s="178">
        <f t="shared" si="47"/>
        <v>0.33022750606410251</v>
      </c>
      <c r="AW31" s="6">
        <f>L*Iout^2/(2*Vripple1_spec*Vout*Npri_sec1^2)*1000000000*((1+N31)/(1-N31))^2</f>
        <v>12.324950464868163</v>
      </c>
      <c r="AX31" s="6">
        <f>L*F31^2/(2*Cout*Vout*Nps^2)*1000000000*((1+N31)/(1-N31))^2+F31*RCoutEsr</f>
        <v>2.7512340036385221</v>
      </c>
      <c r="AY31" s="6">
        <f>L*Iout2^2/(2*Vripple2_spec*Vout2*Npri_sec2^2)*1000000000*((1+N31)/(1-N31))^2</f>
        <v>4.8144337753391264</v>
      </c>
      <c r="AZ31" s="6">
        <f>L*G31^2/(2*Cout2*Vout2*Npri_sec2^2)*1000000000*((1+N31)/(1-N31))^2+G31*CoutEsr2</f>
        <v>1.2209507826712978</v>
      </c>
      <c r="BA31" s="6">
        <f>(H31+I31)/Efficiency/J31*AT31/Vinripple1</f>
        <v>0.89659448552376853</v>
      </c>
      <c r="BB31" s="470">
        <f>((BZ31/J31/Efficiency)*AT31/Cin+(BZ31/J31/Efficiency)*RCinEsr)*1000</f>
        <v>61.468899702678947</v>
      </c>
      <c r="BC31" s="6"/>
      <c r="BD31" s="178">
        <f t="shared" si="48"/>
        <v>0.60370799009540532</v>
      </c>
      <c r="BE31" s="178">
        <f t="shared" si="26"/>
        <v>0.85977330272736507</v>
      </c>
      <c r="BF31" s="178">
        <f t="shared" si="27"/>
        <v>0.53735831420460312</v>
      </c>
      <c r="BG31" s="178"/>
      <c r="BH31" s="543">
        <f t="shared" si="28"/>
        <v>4.009096710355374E-2</v>
      </c>
      <c r="BI31" s="543">
        <f t="shared" si="29"/>
        <v>8.1996669139666897E-2</v>
      </c>
      <c r="BJ31" s="543">
        <f t="shared" si="30"/>
        <v>1.7499999999999998E-2</v>
      </c>
      <c r="BK31" s="543">
        <f t="shared" si="31"/>
        <v>5.2216171874999995E-2</v>
      </c>
      <c r="BL31">
        <f t="shared" si="32"/>
        <v>3.9150000000000001E-3</v>
      </c>
      <c r="BM31" s="470">
        <f t="shared" si="49"/>
        <v>195.71880811822064</v>
      </c>
      <c r="BN31" s="178">
        <f t="shared" si="33"/>
        <v>8.320000000000001E-2</v>
      </c>
      <c r="BO31" s="178">
        <f t="shared" si="34"/>
        <v>5.2000000000000005E-2</v>
      </c>
      <c r="BP31" s="543"/>
      <c r="BR31" s="470">
        <f t="shared" si="50"/>
        <v>135.20000000000002</v>
      </c>
      <c r="BS31" s="543">
        <f t="shared" si="35"/>
        <v>1.4578533492201361E-2</v>
      </c>
      <c r="BT31" s="543">
        <f t="shared" si="51"/>
        <v>2.9568405283308855E-2</v>
      </c>
      <c r="BU31" s="543">
        <f t="shared" si="36"/>
        <v>8.6626187353443882E-3</v>
      </c>
      <c r="BV31" s="543">
        <f t="shared" si="37"/>
        <v>0</v>
      </c>
      <c r="BW31" s="648">
        <f t="shared" si="38"/>
        <v>4.3457142857142861E-2</v>
      </c>
      <c r="BX31" s="470">
        <f t="shared" si="52"/>
        <v>96.266700367997458</v>
      </c>
      <c r="BY31" s="178">
        <f t="shared" si="53"/>
        <v>0.42718550848621806</v>
      </c>
      <c r="BZ31" s="6">
        <f t="shared" si="54"/>
        <v>4.0560000000000009</v>
      </c>
      <c r="CA31" s="178">
        <f t="shared" si="55"/>
        <v>0.90471384517156406</v>
      </c>
      <c r="CB31" s="6">
        <f t="shared" si="56"/>
        <v>90.471384517156409</v>
      </c>
      <c r="CC31">
        <f t="shared" si="57"/>
        <v>26</v>
      </c>
      <c r="CE31" s="577">
        <f t="shared" si="39"/>
        <v>-50</v>
      </c>
      <c r="CF31">
        <f t="shared" si="40"/>
        <v>-50</v>
      </c>
    </row>
    <row r="32" spans="5:84" x14ac:dyDescent="0.2">
      <c r="E32" s="175">
        <v>27</v>
      </c>
      <c r="F32" s="222">
        <f t="shared" si="58"/>
        <v>0.21600000000000003</v>
      </c>
      <c r="G32" s="222">
        <f t="shared" si="41"/>
        <v>0.13500000000000001</v>
      </c>
      <c r="H32" s="222">
        <f t="shared" si="0"/>
        <v>2.5920000000000005</v>
      </c>
      <c r="I32" s="222">
        <f t="shared" si="59"/>
        <v>1.62</v>
      </c>
      <c r="J32" s="556">
        <f t="shared" si="1"/>
        <v>13.5</v>
      </c>
      <c r="K32" s="452">
        <f t="shared" si="2"/>
        <v>12.25</v>
      </c>
      <c r="L32" s="452">
        <f t="shared" si="3"/>
        <v>25.75</v>
      </c>
      <c r="M32" s="452"/>
      <c r="N32" s="222">
        <f t="shared" si="4"/>
        <v>0.47572815533980584</v>
      </c>
      <c r="O32" s="177">
        <f t="shared" si="42"/>
        <v>7.6969156086631818</v>
      </c>
      <c r="P32" s="177">
        <f t="shared" si="5"/>
        <v>7.8171799150485421</v>
      </c>
      <c r="Q32" s="222">
        <f t="shared" si="6"/>
        <v>0.64140963405526519</v>
      </c>
      <c r="R32" s="222">
        <f t="shared" si="7"/>
        <v>0.64140963405526519</v>
      </c>
      <c r="S32" s="452">
        <f t="shared" si="8"/>
        <v>12</v>
      </c>
      <c r="T32" s="222">
        <f t="shared" si="9"/>
        <v>1.3807089151450056</v>
      </c>
      <c r="U32" s="222">
        <f t="shared" si="10"/>
        <v>0.71592314118629918</v>
      </c>
      <c r="V32" s="222">
        <f t="shared" si="11"/>
        <v>0.7889765229400032</v>
      </c>
      <c r="W32" s="202">
        <f t="shared" si="12"/>
        <v>350</v>
      </c>
      <c r="X32" s="452">
        <f t="shared" si="43"/>
        <v>350</v>
      </c>
      <c r="Z32" s="222">
        <f t="shared" si="13"/>
        <v>2.6213592233009715</v>
      </c>
      <c r="AA32" s="178">
        <f t="shared" si="14"/>
        <v>1.4979195561719838</v>
      </c>
      <c r="AB32" s="178">
        <f t="shared" si="15"/>
        <v>0.68715241775850722</v>
      </c>
      <c r="AC32" s="178"/>
      <c r="AD32" s="178">
        <f t="shared" si="16"/>
        <v>0.46857142857142853</v>
      </c>
      <c r="AE32" s="560">
        <f t="shared" si="17"/>
        <v>1124.3307555026772</v>
      </c>
      <c r="AF32" s="543">
        <f t="shared" si="18"/>
        <v>6.723999999999998E-2</v>
      </c>
      <c r="AH32" s="178">
        <f t="shared" si="19"/>
        <v>1.854283513095766</v>
      </c>
      <c r="AI32" s="178">
        <f t="shared" si="20"/>
        <v>1.854283513095766</v>
      </c>
      <c r="AJ32" s="178">
        <f t="shared" si="21"/>
        <v>1.9661359356264934</v>
      </c>
      <c r="AL32" s="560">
        <f t="shared" si="22"/>
        <v>216.00000000000003</v>
      </c>
      <c r="AM32" s="470">
        <f t="shared" si="23"/>
        <v>350</v>
      </c>
      <c r="AO32">
        <f t="shared" si="44"/>
        <v>216.00000000000003</v>
      </c>
      <c r="AP32" s="470">
        <f t="shared" si="24"/>
        <v>350</v>
      </c>
      <c r="AQ32" s="470"/>
      <c r="AR32" s="6">
        <f t="shared" si="45"/>
        <v>2.8571428571428572</v>
      </c>
      <c r="AS32" s="6">
        <f t="shared" si="25"/>
        <v>0.9614803401237304</v>
      </c>
      <c r="AT32" s="6">
        <f t="shared" si="46"/>
        <v>1.8956625170191268</v>
      </c>
      <c r="AU32" s="178">
        <f t="shared" si="47"/>
        <v>0.33651811904330564</v>
      </c>
      <c r="AW32" s="6">
        <f>L*Iout^2/(2*Vripple1_spec*Vout*Npri_sec1^2)*1000000000*((1+N32)/(1-N32))^2</f>
        <v>12.324950464868163</v>
      </c>
      <c r="AX32" s="6">
        <f>L*F32^2/(2*Cout*Vout*Nps^2)*1000000000*((1+N32)/(1-N32))^2+F32*RCoutEsr</f>
        <v>2.9420141843971637</v>
      </c>
      <c r="AY32" s="6">
        <f>L*Iout2^2/(2*Vripple2_spec*Vout2*Npri_sec2^2)*1000000000*((1+N32)/(1-N32))^2</f>
        <v>4.8144337753391264</v>
      </c>
      <c r="AZ32" s="6">
        <f>L*G32^2/(2*Cout2*Vout2*Npri_sec2^2)*1000000000*((1+N32)/(1-N32))^2+G32*CoutEsr2</f>
        <v>1.301099290780142</v>
      </c>
      <c r="BA32" s="6">
        <f>(H32+I32)/Efficiency/J32*AT32/Vinripple1</f>
        <v>0.92233404336837066</v>
      </c>
      <c r="BB32" s="470">
        <f>((BZ32/J32/Efficiency)*AT32/Cin+(BZ32/J32/Efficiency)*RCinEsr)*1000</f>
        <v>63.242811085259753</v>
      </c>
      <c r="BC32" s="6"/>
      <c r="BD32" s="178">
        <f t="shared" si="48"/>
        <v>0.62104023277394782</v>
      </c>
      <c r="BE32" s="178">
        <f t="shared" si="26"/>
        <v>0.87202722334550586</v>
      </c>
      <c r="BF32" s="178">
        <f t="shared" si="27"/>
        <v>0.5450170145909411</v>
      </c>
      <c r="BG32" s="178"/>
      <c r="BH32" s="543">
        <f t="shared" si="28"/>
        <v>4.2426006779631119E-2</v>
      </c>
      <c r="BI32" s="543">
        <f t="shared" si="29"/>
        <v>8.3558650808877963E-2</v>
      </c>
      <c r="BJ32" s="543">
        <f t="shared" si="30"/>
        <v>1.7499999999999998E-2</v>
      </c>
      <c r="BK32" s="543">
        <f t="shared" si="31"/>
        <v>5.2216171874999995E-2</v>
      </c>
      <c r="BL32">
        <f t="shared" si="32"/>
        <v>3.9150000000000001E-3</v>
      </c>
      <c r="BM32" s="470">
        <f t="shared" si="49"/>
        <v>199.61582946350907</v>
      </c>
      <c r="BN32" s="178">
        <f t="shared" si="33"/>
        <v>8.6400000000000018E-2</v>
      </c>
      <c r="BO32" s="178">
        <f t="shared" si="34"/>
        <v>5.4000000000000006E-2</v>
      </c>
      <c r="BP32" s="543"/>
      <c r="BR32" s="470">
        <f t="shared" si="50"/>
        <v>140.40000000000003</v>
      </c>
      <c r="BS32" s="543">
        <f t="shared" si="35"/>
        <v>1.5427638828956772E-2</v>
      </c>
      <c r="BT32" s="543">
        <f t="shared" si="51"/>
        <v>3.0417259130226915E-2</v>
      </c>
      <c r="BU32" s="543">
        <f t="shared" si="36"/>
        <v>8.9113063858086636E-3</v>
      </c>
      <c r="BV32" s="543">
        <f t="shared" si="37"/>
        <v>0</v>
      </c>
      <c r="BW32" s="648">
        <f t="shared" si="38"/>
        <v>4.5128571428571448E-2</v>
      </c>
      <c r="BX32" s="470">
        <f t="shared" si="52"/>
        <v>99.884775773563803</v>
      </c>
      <c r="BY32" s="178">
        <f t="shared" si="53"/>
        <v>0.43990060523707286</v>
      </c>
      <c r="BZ32" s="6">
        <f t="shared" si="54"/>
        <v>4.2120000000000006</v>
      </c>
      <c r="CA32" s="178">
        <f t="shared" si="55"/>
        <v>0.90543637051448689</v>
      </c>
      <c r="CB32" s="6">
        <f t="shared" si="56"/>
        <v>90.543637051448684</v>
      </c>
      <c r="CC32">
        <f t="shared" si="57"/>
        <v>27</v>
      </c>
      <c r="CE32" s="577">
        <f t="shared" si="39"/>
        <v>-50</v>
      </c>
      <c r="CF32">
        <f t="shared" si="40"/>
        <v>-50</v>
      </c>
    </row>
    <row r="33" spans="5:84" x14ac:dyDescent="0.2">
      <c r="E33" s="175">
        <v>28</v>
      </c>
      <c r="F33" s="222">
        <f t="shared" si="58"/>
        <v>0.22400000000000003</v>
      </c>
      <c r="G33" s="222">
        <f t="shared" si="41"/>
        <v>0.14000000000000001</v>
      </c>
      <c r="H33" s="222">
        <f t="shared" si="0"/>
        <v>2.6880000000000006</v>
      </c>
      <c r="I33" s="222">
        <f t="shared" si="59"/>
        <v>1.6800000000000002</v>
      </c>
      <c r="J33" s="556">
        <f t="shared" si="1"/>
        <v>13.5</v>
      </c>
      <c r="K33" s="452">
        <f t="shared" si="2"/>
        <v>12.25</v>
      </c>
      <c r="L33" s="452">
        <f t="shared" si="3"/>
        <v>25.75</v>
      </c>
      <c r="M33" s="452"/>
      <c r="N33" s="222">
        <f t="shared" si="4"/>
        <v>0.47572815533980584</v>
      </c>
      <c r="O33" s="177">
        <f t="shared" si="42"/>
        <v>7.6969156086631818</v>
      </c>
      <c r="P33" s="177">
        <f t="shared" si="5"/>
        <v>7.8171799150485421</v>
      </c>
      <c r="Q33" s="222">
        <f t="shared" si="6"/>
        <v>0.64140963405526519</v>
      </c>
      <c r="R33" s="222">
        <f t="shared" si="7"/>
        <v>0.64140963405526519</v>
      </c>
      <c r="S33" s="452">
        <f t="shared" si="8"/>
        <v>12</v>
      </c>
      <c r="T33" s="222">
        <f t="shared" si="9"/>
        <v>1.4318462823725984</v>
      </c>
      <c r="U33" s="222">
        <f t="shared" si="10"/>
        <v>0.74243881308208803</v>
      </c>
      <c r="V33" s="222">
        <f t="shared" si="11"/>
        <v>0.81819787564148472</v>
      </c>
      <c r="W33" s="202">
        <f t="shared" si="12"/>
        <v>350</v>
      </c>
      <c r="X33" s="452">
        <f t="shared" si="43"/>
        <v>350</v>
      </c>
      <c r="Z33" s="222">
        <f t="shared" si="13"/>
        <v>2.6213592233009715</v>
      </c>
      <c r="AA33" s="178">
        <f t="shared" si="14"/>
        <v>1.4979195561719838</v>
      </c>
      <c r="AB33" s="178">
        <f t="shared" si="15"/>
        <v>0.68715241775850722</v>
      </c>
      <c r="AC33" s="178"/>
      <c r="AD33" s="178">
        <f t="shared" si="16"/>
        <v>0.46857142857142853</v>
      </c>
      <c r="AE33" s="560">
        <f t="shared" si="17"/>
        <v>1165.97263533611</v>
      </c>
      <c r="AF33" s="543">
        <f t="shared" si="18"/>
        <v>6.723999999999998E-2</v>
      </c>
      <c r="AH33" s="178">
        <f t="shared" si="19"/>
        <v>1.8883099019266636</v>
      </c>
      <c r="AI33" s="178">
        <f t="shared" si="20"/>
        <v>1.8883099019266636</v>
      </c>
      <c r="AJ33" s="178">
        <f t="shared" si="21"/>
        <v>1.9913406680938248</v>
      </c>
      <c r="AL33" s="560">
        <f t="shared" si="22"/>
        <v>224.00000000000003</v>
      </c>
      <c r="AM33" s="470">
        <f t="shared" si="23"/>
        <v>350</v>
      </c>
      <c r="AO33">
        <f t="shared" si="44"/>
        <v>224.00000000000003</v>
      </c>
      <c r="AP33" s="470">
        <f t="shared" si="24"/>
        <v>350</v>
      </c>
      <c r="AQ33" s="470"/>
      <c r="AR33" s="6">
        <f t="shared" si="45"/>
        <v>2.8571428571428572</v>
      </c>
      <c r="AS33" s="6">
        <f t="shared" si="25"/>
        <v>0.97912365285086245</v>
      </c>
      <c r="AT33" s="6">
        <f t="shared" si="46"/>
        <v>1.8780192042919948</v>
      </c>
      <c r="AU33" s="178">
        <f t="shared" si="47"/>
        <v>0.34269327849780185</v>
      </c>
      <c r="AW33" s="6">
        <f>L*Iout^2/(2*Vripple1_spec*Vout*Npri_sec1^2)*1000000000*((1+N33)/(1-N33))^2</f>
        <v>12.324950464868163</v>
      </c>
      <c r="AX33" s="6">
        <f>L*F33^2/(2*Cout*Vout*Nps^2)*1000000000*((1+N33)/(1-N33))^2+F33*RCoutEsr</f>
        <v>3.1390879568825469</v>
      </c>
      <c r="AY33" s="6">
        <f>L*Iout2^2/(2*Vripple2_spec*Vout2*Npri_sec2^2)*1000000000*((1+N33)/(1-N33))^2</f>
        <v>4.8144337753391264</v>
      </c>
      <c r="AZ33" s="6">
        <f>L*G33^2/(2*Cout2*Vout2*Npri_sec2^2)*1000000000*((1+N33)/(1-N33))^2+G33*CoutEsr2</f>
        <v>1.3837062331572445</v>
      </c>
      <c r="BA33" s="6">
        <f>(H33+I33)/Efficiency/J33*AT33/Vinripple1</f>
        <v>0.94759227600576801</v>
      </c>
      <c r="BB33" s="470">
        <f>((BZ33/J33/Efficiency)*AT33/Cin+(BZ33/J33/Efficiency)*RCinEsr)*1000</f>
        <v>64.984233016354267</v>
      </c>
      <c r="BC33" s="6"/>
      <c r="BD33" s="178">
        <f t="shared" si="48"/>
        <v>0.6382126914955224</v>
      </c>
      <c r="BE33" s="178">
        <f t="shared" si="26"/>
        <v>0.88388686435848218</v>
      </c>
      <c r="BF33" s="178">
        <f t="shared" si="27"/>
        <v>0.55242929022405129</v>
      </c>
      <c r="BG33" s="178"/>
      <c r="BH33" s="543">
        <f t="shared" si="28"/>
        <v>4.4804698354455476E-2</v>
      </c>
      <c r="BI33" s="543">
        <f t="shared" si="29"/>
        <v>8.5091964955570268E-2</v>
      </c>
      <c r="BJ33" s="543">
        <f t="shared" si="30"/>
        <v>1.7499999999999998E-2</v>
      </c>
      <c r="BK33" s="543">
        <f t="shared" si="31"/>
        <v>5.2216171874999995E-2</v>
      </c>
      <c r="BL33">
        <f t="shared" si="32"/>
        <v>3.9150000000000001E-3</v>
      </c>
      <c r="BM33" s="470">
        <f t="shared" si="49"/>
        <v>203.52783518502574</v>
      </c>
      <c r="BN33" s="178">
        <f t="shared" si="33"/>
        <v>8.9600000000000013E-2</v>
      </c>
      <c r="BO33" s="178">
        <f t="shared" si="34"/>
        <v>5.6000000000000008E-2</v>
      </c>
      <c r="BP33" s="543"/>
      <c r="BR33" s="470">
        <f t="shared" si="50"/>
        <v>145.6</v>
      </c>
      <c r="BS33" s="543">
        <f t="shared" si="35"/>
        <v>1.6292617583438355E-2</v>
      </c>
      <c r="BT33" s="543">
        <f t="shared" si="51"/>
        <v>3.1250239559418795E-2</v>
      </c>
      <c r="BU33" s="543">
        <f t="shared" si="36"/>
        <v>9.1553436209234722E-3</v>
      </c>
      <c r="BV33" s="543">
        <f t="shared" si="37"/>
        <v>0</v>
      </c>
      <c r="BW33" s="648">
        <f t="shared" si="38"/>
        <v>4.6800000000000008E-2</v>
      </c>
      <c r="BX33" s="470">
        <f t="shared" si="52"/>
        <v>103.49820076378063</v>
      </c>
      <c r="BY33" s="178">
        <f t="shared" si="53"/>
        <v>0.45262603594880635</v>
      </c>
      <c r="BZ33" s="6">
        <f t="shared" si="54"/>
        <v>4.3680000000000003</v>
      </c>
      <c r="CA33" s="178">
        <f t="shared" si="55"/>
        <v>0.90610637859617349</v>
      </c>
      <c r="CB33" s="6">
        <f t="shared" si="56"/>
        <v>90.610637859617356</v>
      </c>
      <c r="CC33">
        <f t="shared" si="57"/>
        <v>28.000000000000004</v>
      </c>
      <c r="CE33" s="577">
        <f t="shared" si="39"/>
        <v>-50</v>
      </c>
      <c r="CF33">
        <f t="shared" si="40"/>
        <v>-50</v>
      </c>
    </row>
    <row r="34" spans="5:84" x14ac:dyDescent="0.2">
      <c r="E34" s="175">
        <v>29</v>
      </c>
      <c r="F34" s="222">
        <f t="shared" si="58"/>
        <v>0.23199999999999998</v>
      </c>
      <c r="G34" s="222">
        <f t="shared" si="41"/>
        <v>0.14499999999999999</v>
      </c>
      <c r="H34" s="222">
        <f t="shared" si="0"/>
        <v>2.7839999999999998</v>
      </c>
      <c r="I34" s="222">
        <f t="shared" si="59"/>
        <v>1.7399999999999998</v>
      </c>
      <c r="J34" s="556">
        <f t="shared" si="1"/>
        <v>13.5</v>
      </c>
      <c r="K34" s="452">
        <f t="shared" si="2"/>
        <v>12.25</v>
      </c>
      <c r="L34" s="452">
        <f t="shared" si="3"/>
        <v>25.75</v>
      </c>
      <c r="M34" s="452"/>
      <c r="N34" s="222">
        <f t="shared" si="4"/>
        <v>0.47572815533980584</v>
      </c>
      <c r="O34" s="177">
        <f t="shared" si="42"/>
        <v>7.6969156086631818</v>
      </c>
      <c r="P34" s="177">
        <f t="shared" si="5"/>
        <v>7.8171799150485421</v>
      </c>
      <c r="Q34" s="222">
        <f t="shared" si="6"/>
        <v>0.64140963405526519</v>
      </c>
      <c r="R34" s="222">
        <f t="shared" si="7"/>
        <v>0.64140963405526519</v>
      </c>
      <c r="S34" s="452">
        <f t="shared" si="8"/>
        <v>12</v>
      </c>
      <c r="T34" s="222">
        <f t="shared" si="9"/>
        <v>1.4829836496001907</v>
      </c>
      <c r="U34" s="222">
        <f t="shared" si="10"/>
        <v>0.76895448497787655</v>
      </c>
      <c r="V34" s="222">
        <f t="shared" si="11"/>
        <v>0.84741922834296612</v>
      </c>
      <c r="W34" s="202">
        <f t="shared" si="12"/>
        <v>350</v>
      </c>
      <c r="X34" s="452">
        <f t="shared" si="43"/>
        <v>350</v>
      </c>
      <c r="Z34" s="222">
        <f t="shared" si="13"/>
        <v>2.6213592233009715</v>
      </c>
      <c r="AA34" s="178">
        <f t="shared" si="14"/>
        <v>1.4979195561719838</v>
      </c>
      <c r="AB34" s="178">
        <f t="shared" si="15"/>
        <v>0.68715241775850722</v>
      </c>
      <c r="AC34" s="178"/>
      <c r="AD34" s="178">
        <f t="shared" si="16"/>
        <v>0.46857142857142853</v>
      </c>
      <c r="AE34" s="560">
        <f t="shared" si="17"/>
        <v>1207.6145151695421</v>
      </c>
      <c r="AF34" s="543">
        <f t="shared" si="18"/>
        <v>6.723999999999998E-2</v>
      </c>
      <c r="AH34" s="178">
        <f t="shared" si="19"/>
        <v>1.9217339109485982</v>
      </c>
      <c r="AI34" s="178">
        <f t="shared" si="20"/>
        <v>1.9217339109485982</v>
      </c>
      <c r="AJ34" s="178">
        <f t="shared" si="21"/>
        <v>2.0160991932952577</v>
      </c>
      <c r="AL34" s="560">
        <f t="shared" si="22"/>
        <v>231.99999999999997</v>
      </c>
      <c r="AM34" s="470">
        <f t="shared" si="23"/>
        <v>350</v>
      </c>
      <c r="AO34">
        <f t="shared" si="44"/>
        <v>231.99999999999997</v>
      </c>
      <c r="AP34" s="470">
        <f t="shared" si="24"/>
        <v>350</v>
      </c>
      <c r="AQ34" s="470"/>
      <c r="AR34" s="6">
        <f t="shared" si="45"/>
        <v>2.8571428571428572</v>
      </c>
      <c r="AS34" s="6">
        <f t="shared" si="25"/>
        <v>0.99645462049186573</v>
      </c>
      <c r="AT34" s="6">
        <f t="shared" si="46"/>
        <v>1.8606882366509914</v>
      </c>
      <c r="AU34" s="178">
        <f t="shared" si="47"/>
        <v>0.34875911717215302</v>
      </c>
      <c r="AW34" s="6">
        <f>L*Iout^2/(2*Vripple1_spec*Vout*Npri_sec1^2)*1000000000*((1+N34)/(1-N34))^2</f>
        <v>12.324950464868163</v>
      </c>
      <c r="AX34" s="6">
        <f>L*F34^2/(2*Cout*Vout*Nps^2)*1000000000*((1+N34)/(1-N34))^2+F34*RCoutEsr</f>
        <v>3.3424553210946693</v>
      </c>
      <c r="AY34" s="6">
        <f>L*Iout2^2/(2*Vripple2_spec*Vout2*Npri_sec2^2)*1000000000*((1+N34)/(1-N34))^2</f>
        <v>4.8144337753391264</v>
      </c>
      <c r="AZ34" s="6">
        <f>L*G34^2/(2*Cout2*Vout2*Npri_sec2^2)*1000000000*((1+N34)/(1-N34))^2+G34*CoutEsr2</f>
        <v>1.4687716098026056</v>
      </c>
      <c r="BA34" s="6">
        <f>(H34+I34)/Efficiency/J34*AT34/Vinripple1</f>
        <v>0.97237785951732947</v>
      </c>
      <c r="BB34" s="470">
        <f>((BZ34/J34/Efficiency)*AT34/Cin+(BZ34/J34/Efficiency)*RCinEsr)*1000</f>
        <v>66.693751131454832</v>
      </c>
      <c r="BC34" s="6"/>
      <c r="BD34" s="178">
        <f t="shared" si="48"/>
        <v>0.6552324707856928</v>
      </c>
      <c r="BE34" s="178">
        <f t="shared" si="26"/>
        <v>0.89537188776024301</v>
      </c>
      <c r="BF34" s="178">
        <f t="shared" si="27"/>
        <v>0.55960742985015177</v>
      </c>
      <c r="BG34" s="178"/>
      <c r="BH34" s="543">
        <f t="shared" si="28"/>
        <v>4.722625498491162E-2</v>
      </c>
      <c r="BI34" s="543">
        <f t="shared" si="29"/>
        <v>8.6598134362121201E-2</v>
      </c>
      <c r="BJ34" s="543">
        <f t="shared" si="30"/>
        <v>1.7499999999999998E-2</v>
      </c>
      <c r="BK34" s="543">
        <f t="shared" si="31"/>
        <v>5.2216171874999995E-2</v>
      </c>
      <c r="BL34">
        <f t="shared" si="32"/>
        <v>3.9150000000000001E-3</v>
      </c>
      <c r="BM34" s="470">
        <f t="shared" si="49"/>
        <v>207.45556122203283</v>
      </c>
      <c r="BN34" s="178">
        <f t="shared" si="33"/>
        <v>9.2799999999999994E-2</v>
      </c>
      <c r="BO34" s="178">
        <f t="shared" si="34"/>
        <v>5.7999999999999996E-2</v>
      </c>
      <c r="BP34" s="543"/>
      <c r="BR34" s="470">
        <f t="shared" si="50"/>
        <v>150.79999999999998</v>
      </c>
      <c r="BS34" s="543">
        <f t="shared" si="35"/>
        <v>1.7173183630876953E-2</v>
      </c>
      <c r="BT34" s="543">
        <f t="shared" si="51"/>
        <v>3.2067632695653644E-2</v>
      </c>
      <c r="BU34" s="543">
        <f t="shared" si="36"/>
        <v>9.3948142663047747E-3</v>
      </c>
      <c r="BV34" s="543">
        <f t="shared" si="37"/>
        <v>0</v>
      </c>
      <c r="BW34" s="648">
        <f t="shared" si="38"/>
        <v>4.8471428571428568E-2</v>
      </c>
      <c r="BX34" s="470">
        <f t="shared" si="52"/>
        <v>107.10705916426394</v>
      </c>
      <c r="BY34" s="178">
        <f t="shared" si="53"/>
        <v>0.46536262038629672</v>
      </c>
      <c r="BZ34" s="6">
        <f t="shared" si="54"/>
        <v>4.5239999999999991</v>
      </c>
      <c r="CA34" s="178">
        <f t="shared" si="55"/>
        <v>0.90672904421000644</v>
      </c>
      <c r="CB34" s="6">
        <f t="shared" si="56"/>
        <v>90.672904421000638</v>
      </c>
      <c r="CC34">
        <f t="shared" si="57"/>
        <v>28.999999999999996</v>
      </c>
      <c r="CE34" s="577">
        <f t="shared" si="39"/>
        <v>-50</v>
      </c>
      <c r="CF34">
        <f t="shared" si="40"/>
        <v>-50</v>
      </c>
    </row>
    <row r="35" spans="5:84" x14ac:dyDescent="0.2">
      <c r="E35" s="175">
        <v>30</v>
      </c>
      <c r="F35" s="222">
        <f t="shared" si="58"/>
        <v>0.24</v>
      </c>
      <c r="G35" s="222">
        <f t="shared" si="41"/>
        <v>0.15</v>
      </c>
      <c r="H35" s="222">
        <f t="shared" si="0"/>
        <v>2.88</v>
      </c>
      <c r="I35" s="222">
        <f t="shared" si="59"/>
        <v>1.7999999999999998</v>
      </c>
      <c r="J35" s="556">
        <f t="shared" si="1"/>
        <v>13.5</v>
      </c>
      <c r="K35" s="452">
        <f t="shared" si="2"/>
        <v>12.25</v>
      </c>
      <c r="L35" s="452">
        <f t="shared" si="3"/>
        <v>25.75</v>
      </c>
      <c r="M35" s="452"/>
      <c r="N35" s="222">
        <f t="shared" si="4"/>
        <v>0.47572815533980584</v>
      </c>
      <c r="O35" s="177">
        <f t="shared" si="42"/>
        <v>7.6969156086631818</v>
      </c>
      <c r="P35" s="177">
        <f t="shared" si="5"/>
        <v>7.8171799150485421</v>
      </c>
      <c r="Q35" s="222">
        <f t="shared" si="6"/>
        <v>0.64140963405526519</v>
      </c>
      <c r="R35" s="222">
        <f t="shared" si="7"/>
        <v>0.64140963405526519</v>
      </c>
      <c r="S35" s="452">
        <f t="shared" si="8"/>
        <v>12</v>
      </c>
      <c r="T35" s="222">
        <f t="shared" si="9"/>
        <v>1.5341210168277837</v>
      </c>
      <c r="U35" s="222">
        <f t="shared" si="10"/>
        <v>0.79547015687366551</v>
      </c>
      <c r="V35" s="222">
        <f t="shared" si="11"/>
        <v>0.87664058104444775</v>
      </c>
      <c r="W35" s="202">
        <f t="shared" si="12"/>
        <v>350</v>
      </c>
      <c r="X35" s="452">
        <f t="shared" si="43"/>
        <v>350</v>
      </c>
      <c r="Z35" s="222">
        <f t="shared" si="13"/>
        <v>2.6213592233009715</v>
      </c>
      <c r="AA35" s="178">
        <f t="shared" si="14"/>
        <v>1.4979195561719838</v>
      </c>
      <c r="AB35" s="178">
        <f t="shared" si="15"/>
        <v>0.68715241775850722</v>
      </c>
      <c r="AC35" s="178"/>
      <c r="AD35" s="178">
        <f t="shared" si="16"/>
        <v>0.46857142857142853</v>
      </c>
      <c r="AE35" s="560">
        <f t="shared" si="17"/>
        <v>1249.2563950029746</v>
      </c>
      <c r="AF35" s="543">
        <f t="shared" si="18"/>
        <v>6.723999999999998E-2</v>
      </c>
      <c r="AH35" s="178">
        <f t="shared" si="19"/>
        <v>1.9545864430270936</v>
      </c>
      <c r="AI35" s="178">
        <f t="shared" si="20"/>
        <v>1.9545864430270936</v>
      </c>
      <c r="AJ35" s="178">
        <f t="shared" si="21"/>
        <v>2.0404344022422918</v>
      </c>
      <c r="AL35" s="560">
        <f t="shared" si="22"/>
        <v>240</v>
      </c>
      <c r="AM35" s="470">
        <f t="shared" si="23"/>
        <v>350</v>
      </c>
      <c r="AO35">
        <f t="shared" si="44"/>
        <v>240</v>
      </c>
      <c r="AP35" s="470">
        <f t="shared" si="24"/>
        <v>350</v>
      </c>
      <c r="AQ35" s="470"/>
      <c r="AR35" s="6">
        <f t="shared" si="45"/>
        <v>2.8571428571428572</v>
      </c>
      <c r="AS35" s="6">
        <f t="shared" si="25"/>
        <v>1.0134892667547892</v>
      </c>
      <c r="AT35" s="6">
        <f t="shared" si="46"/>
        <v>1.843653590388068</v>
      </c>
      <c r="AU35" s="178">
        <f t="shared" si="47"/>
        <v>0.35472124336417621</v>
      </c>
      <c r="AW35" s="6">
        <f>L*Iout^2/(2*Vripple1_spec*Vout*Npri_sec1^2)*1000000000*((1+N35)/(1-N35))^2</f>
        <v>12.324950464868163</v>
      </c>
      <c r="AX35" s="6">
        <f>L*F35^2/(2*Cout*Vout*Nps^2)*1000000000*((1+N35)/(1-N35))^2+F35*RCoutEsr</f>
        <v>3.5521162770335346</v>
      </c>
      <c r="AY35" s="6">
        <f>L*Iout2^2/(2*Vripple2_spec*Vout2*Npri_sec2^2)*1000000000*((1+N35)/(1-N35))^2</f>
        <v>4.8144337753391264</v>
      </c>
      <c r="AZ35" s="6">
        <f>L*G35^2/(2*Cout2*Vout2*Npri_sec2^2)*1000000000*((1+N35)/(1-N35))^2+G35*CoutEsr2</f>
        <v>1.5562954207162245</v>
      </c>
      <c r="BA35" s="6">
        <f>(H35+I35)/Efficiency/J35*AT35/Vinripple1</f>
        <v>0.99669901702590813</v>
      </c>
      <c r="BB35" s="470">
        <f>((BZ35/J35/Efficiency)*AT35/Cin+(BZ35/J35/Efficiency)*RCinEsr)*1000</f>
        <v>68.371920491354061</v>
      </c>
      <c r="BC35" s="6"/>
      <c r="BD35" s="178">
        <f t="shared" si="48"/>
        <v>0.67210612600295949</v>
      </c>
      <c r="BE35" s="178">
        <f t="shared" si="26"/>
        <v>0.90650027200459027</v>
      </c>
      <c r="BF35" s="178">
        <f t="shared" si="27"/>
        <v>0.56656267000286886</v>
      </c>
      <c r="BG35" s="178"/>
      <c r="BH35" s="543">
        <f t="shared" si="28"/>
        <v>4.9689930907177667E-2</v>
      </c>
      <c r="BI35" s="543">
        <f t="shared" si="29"/>
        <v>8.8078551588908413E-2</v>
      </c>
      <c r="BJ35" s="543">
        <f t="shared" si="30"/>
        <v>1.7499999999999998E-2</v>
      </c>
      <c r="BK35" s="543">
        <f t="shared" si="31"/>
        <v>5.2216171874999995E-2</v>
      </c>
      <c r="BL35">
        <f t="shared" si="32"/>
        <v>3.9150000000000001E-3</v>
      </c>
      <c r="BM35" s="470">
        <f t="shared" si="49"/>
        <v>211.39965437108606</v>
      </c>
      <c r="BN35" s="178">
        <f t="shared" si="33"/>
        <v>9.6000000000000002E-2</v>
      </c>
      <c r="BO35" s="178">
        <f t="shared" si="34"/>
        <v>0.06</v>
      </c>
      <c r="BP35" s="543"/>
      <c r="BR35" s="470">
        <f t="shared" si="50"/>
        <v>156</v>
      </c>
      <c r="BS35" s="543">
        <f t="shared" si="35"/>
        <v>1.8069065784428243E-2</v>
      </c>
      <c r="BT35" s="543">
        <f t="shared" si="51"/>
        <v>3.2869709725775846E-2</v>
      </c>
      <c r="BU35" s="543">
        <f t="shared" si="36"/>
        <v>9.6297977712233897E-3</v>
      </c>
      <c r="BV35" s="543">
        <f t="shared" si="37"/>
        <v>0</v>
      </c>
      <c r="BW35" s="648">
        <f t="shared" si="38"/>
        <v>5.0142857142857149E-2</v>
      </c>
      <c r="BX35" s="470">
        <f t="shared" si="52"/>
        <v>110.71143042428463</v>
      </c>
      <c r="BY35" s="178">
        <f t="shared" si="53"/>
        <v>0.47811108479537073</v>
      </c>
      <c r="BZ35" s="6">
        <f t="shared" si="54"/>
        <v>4.68</v>
      </c>
      <c r="CA35" s="178">
        <f t="shared" si="55"/>
        <v>0.9073088816941719</v>
      </c>
      <c r="CB35" s="6">
        <f t="shared" si="56"/>
        <v>90.730888169417184</v>
      </c>
      <c r="CC35">
        <f t="shared" si="57"/>
        <v>30</v>
      </c>
      <c r="CE35" s="577">
        <f t="shared" si="39"/>
        <v>-50</v>
      </c>
      <c r="CF35">
        <f t="shared" si="40"/>
        <v>-50</v>
      </c>
    </row>
    <row r="36" spans="5:84" x14ac:dyDescent="0.2">
      <c r="E36" s="175">
        <v>31</v>
      </c>
      <c r="F36" s="222">
        <f t="shared" si="58"/>
        <v>0.248</v>
      </c>
      <c r="G36" s="222">
        <f t="shared" si="41"/>
        <v>0.155</v>
      </c>
      <c r="H36" s="222">
        <f t="shared" si="0"/>
        <v>2.976</v>
      </c>
      <c r="I36" s="222">
        <f t="shared" si="59"/>
        <v>1.8599999999999999</v>
      </c>
      <c r="J36" s="556">
        <f t="shared" si="1"/>
        <v>13.5</v>
      </c>
      <c r="K36" s="452">
        <f t="shared" si="2"/>
        <v>12.25</v>
      </c>
      <c r="L36" s="452">
        <f t="shared" si="3"/>
        <v>25.75</v>
      </c>
      <c r="M36" s="452"/>
      <c r="N36" s="222">
        <f t="shared" si="4"/>
        <v>0.47572815533980584</v>
      </c>
      <c r="O36" s="177">
        <f t="shared" si="42"/>
        <v>7.6969156086631818</v>
      </c>
      <c r="P36" s="177">
        <f t="shared" si="5"/>
        <v>7.8171799150485421</v>
      </c>
      <c r="Q36" s="222">
        <f t="shared" si="6"/>
        <v>0.64140963405526519</v>
      </c>
      <c r="R36" s="222">
        <f t="shared" si="7"/>
        <v>0.64140963405526519</v>
      </c>
      <c r="S36" s="452">
        <f t="shared" si="8"/>
        <v>12</v>
      </c>
      <c r="T36" s="222">
        <f t="shared" si="9"/>
        <v>1.5852583840553767</v>
      </c>
      <c r="U36" s="222">
        <f t="shared" si="10"/>
        <v>0.82198582876945459</v>
      </c>
      <c r="V36" s="222">
        <f t="shared" si="11"/>
        <v>0.90586193374592949</v>
      </c>
      <c r="W36" s="202">
        <f t="shared" si="12"/>
        <v>350</v>
      </c>
      <c r="X36" s="452">
        <f t="shared" si="43"/>
        <v>350</v>
      </c>
      <c r="Z36" s="222">
        <f t="shared" si="13"/>
        <v>2.6213592233009715</v>
      </c>
      <c r="AA36" s="178">
        <f t="shared" si="14"/>
        <v>1.4979195561719838</v>
      </c>
      <c r="AB36" s="178">
        <f t="shared" si="15"/>
        <v>0.68715241775850722</v>
      </c>
      <c r="AC36" s="178"/>
      <c r="AD36" s="178">
        <f t="shared" si="16"/>
        <v>0.46857142857142853</v>
      </c>
      <c r="AE36" s="560">
        <f t="shared" si="17"/>
        <v>1290.8982748364072</v>
      </c>
      <c r="AF36" s="543">
        <f t="shared" si="18"/>
        <v>6.723999999999998E-2</v>
      </c>
      <c r="AH36" s="178">
        <f t="shared" si="19"/>
        <v>1.9868958457958525</v>
      </c>
      <c r="AI36" s="178">
        <f t="shared" si="20"/>
        <v>1.9868958457958525</v>
      </c>
      <c r="AJ36" s="178">
        <f t="shared" si="21"/>
        <v>2.0643672931821131</v>
      </c>
      <c r="AL36" s="560">
        <f t="shared" si="22"/>
        <v>248</v>
      </c>
      <c r="AM36" s="470">
        <f t="shared" si="23"/>
        <v>350</v>
      </c>
      <c r="AO36">
        <f t="shared" si="44"/>
        <v>248</v>
      </c>
      <c r="AP36" s="470">
        <f t="shared" si="24"/>
        <v>350</v>
      </c>
      <c r="AQ36" s="470"/>
      <c r="AR36" s="6">
        <f t="shared" si="45"/>
        <v>2.8571428571428572</v>
      </c>
      <c r="AS36" s="6">
        <f t="shared" si="25"/>
        <v>1.0302422904126642</v>
      </c>
      <c r="AT36" s="6">
        <f t="shared" si="46"/>
        <v>1.826900566730193</v>
      </c>
      <c r="AU36" s="178">
        <f t="shared" si="47"/>
        <v>0.36058480164443246</v>
      </c>
      <c r="AW36" s="6">
        <f>L*Iout^2/(2*Vripple1_spec*Vout*Npri_sec1^2)*1000000000*((1+N36)/(1-N36))^2</f>
        <v>12.324950464868163</v>
      </c>
      <c r="AX36" s="6">
        <f>L*F36^2/(2*Cout*Vout*Nps^2)*1000000000*((1+N36)/(1-N36))^2+F36*RCoutEsr</f>
        <v>3.7680708246991408</v>
      </c>
      <c r="AY36" s="6">
        <f>L*Iout2^2/(2*Vripple2_spec*Vout2*Npri_sec2^2)*1000000000*((1+N36)/(1-N36))^2</f>
        <v>4.8144337753391264</v>
      </c>
      <c r="AZ36" s="6">
        <f>L*G36^2/(2*Cout2*Vout2*Npri_sec2^2)*1000000000*((1+N36)/(1-N36))^2+G36*CoutEsr2</f>
        <v>1.646277665898102</v>
      </c>
      <c r="BA36" s="6">
        <f>(H36+I36)/Efficiency/J36*AT36/Vinripple1</f>
        <v>1.0205635567924005</v>
      </c>
      <c r="BB36" s="470">
        <f>((BZ36/J36/Efficiency)*AT36/Cin+(BZ36/J36/Efficiency)*RCinEsr)*1000</f>
        <v>70.01926815366248</v>
      </c>
      <c r="BC36" s="6"/>
      <c r="BD36" s="178">
        <f t="shared" si="48"/>
        <v>0.68883972262788484</v>
      </c>
      <c r="BE36" s="178">
        <f t="shared" si="26"/>
        <v>0.91728850634730918</v>
      </c>
      <c r="BF36" s="178">
        <f t="shared" si="27"/>
        <v>0.57330531646706817</v>
      </c>
      <c r="BG36" s="178"/>
      <c r="BH36" s="543">
        <f t="shared" si="28"/>
        <v>5.219501798170674E-2</v>
      </c>
      <c r="BI36" s="543">
        <f t="shared" si="29"/>
        <v>8.9534494051175598E-2</v>
      </c>
      <c r="BJ36" s="543">
        <f t="shared" si="30"/>
        <v>1.7499999999999998E-2</v>
      </c>
      <c r="BK36" s="543">
        <f t="shared" si="31"/>
        <v>5.2216171874999995E-2</v>
      </c>
      <c r="BL36">
        <f t="shared" si="32"/>
        <v>3.9150000000000001E-3</v>
      </c>
      <c r="BM36" s="470">
        <f t="shared" si="49"/>
        <v>215.36068390788233</v>
      </c>
      <c r="BN36" s="178">
        <f t="shared" si="33"/>
        <v>9.920000000000001E-2</v>
      </c>
      <c r="BO36" s="178">
        <f t="shared" si="34"/>
        <v>6.2E-2</v>
      </c>
      <c r="BP36" s="543"/>
      <c r="BR36" s="470">
        <f t="shared" si="50"/>
        <v>161.20000000000002</v>
      </c>
      <c r="BS36" s="543">
        <f t="shared" si="35"/>
        <v>1.8980006538802451E-2</v>
      </c>
      <c r="BT36" s="543">
        <f t="shared" si="51"/>
        <v>3.3656728155075102E-2</v>
      </c>
      <c r="BU36" s="543">
        <f t="shared" si="36"/>
        <v>9.8603695766821559E-3</v>
      </c>
      <c r="BV36" s="543">
        <f t="shared" si="37"/>
        <v>0</v>
      </c>
      <c r="BW36" s="648">
        <f t="shared" si="38"/>
        <v>5.1814285714285722E-2</v>
      </c>
      <c r="BX36" s="470">
        <f t="shared" si="52"/>
        <v>114.31138998484543</v>
      </c>
      <c r="BY36" s="178">
        <f t="shared" si="53"/>
        <v>0.49087207389272774</v>
      </c>
      <c r="BZ36" s="6">
        <f t="shared" si="54"/>
        <v>4.8360000000000003</v>
      </c>
      <c r="CA36" s="178">
        <f t="shared" si="55"/>
        <v>0.90784984751210429</v>
      </c>
      <c r="CB36" s="6">
        <f t="shared" si="56"/>
        <v>90.78498475121043</v>
      </c>
      <c r="CC36">
        <f t="shared" si="57"/>
        <v>31</v>
      </c>
      <c r="CE36" s="577">
        <f t="shared" si="39"/>
        <v>-50</v>
      </c>
      <c r="CF36">
        <f t="shared" si="40"/>
        <v>-50</v>
      </c>
    </row>
    <row r="37" spans="5:84" x14ac:dyDescent="0.2">
      <c r="E37" s="175">
        <v>32</v>
      </c>
      <c r="F37" s="222">
        <f t="shared" si="58"/>
        <v>0.25600000000000001</v>
      </c>
      <c r="G37" s="222">
        <f t="shared" si="41"/>
        <v>0.16</v>
      </c>
      <c r="H37" s="222">
        <f t="shared" ref="H37:H68" si="60">F37*Vout</f>
        <v>3.0720000000000001</v>
      </c>
      <c r="I37" s="222">
        <f t="shared" si="59"/>
        <v>1.92</v>
      </c>
      <c r="J37" s="556">
        <f t="shared" si="1"/>
        <v>13.5</v>
      </c>
      <c r="K37" s="452">
        <f t="shared" si="2"/>
        <v>12.25</v>
      </c>
      <c r="L37" s="452">
        <f t="shared" si="3"/>
        <v>25.75</v>
      </c>
      <c r="M37" s="452"/>
      <c r="N37" s="222">
        <f t="shared" si="4"/>
        <v>0.47572815533980584</v>
      </c>
      <c r="O37" s="177">
        <f t="shared" si="42"/>
        <v>7.6969156086631818</v>
      </c>
      <c r="P37" s="177">
        <f t="shared" ref="P37:P68" si="61">N37*J37*Isw_max*0.5*Efficiency*(Pout2/Pout_total)</f>
        <v>7.8171799150485421</v>
      </c>
      <c r="Q37" s="222">
        <f t="shared" si="6"/>
        <v>0.64140963405526519</v>
      </c>
      <c r="R37" s="222">
        <f t="shared" ref="R37:R68" si="62">O37/Vout2</f>
        <v>0.64140963405526519</v>
      </c>
      <c r="S37" s="452">
        <f t="shared" ref="S37:S68" si="63">MIN(Vout,O37/F37)</f>
        <v>12</v>
      </c>
      <c r="T37" s="222">
        <f t="shared" ref="T37:T68" si="64">MIN(2*(Vout*F37+Vout2*G37)/(Efficiency*J37*N37), Isw_max)</f>
        <v>1.6363957512829692</v>
      </c>
      <c r="U37" s="222">
        <f t="shared" si="10"/>
        <v>0.84850150066524332</v>
      </c>
      <c r="V37" s="222">
        <f t="shared" si="11"/>
        <v>0.93508328644741101</v>
      </c>
      <c r="W37" s="202">
        <f t="shared" si="12"/>
        <v>350</v>
      </c>
      <c r="X37" s="452">
        <f t="shared" si="43"/>
        <v>350</v>
      </c>
      <c r="Z37" s="222">
        <f t="shared" si="13"/>
        <v>2.6213592233009715</v>
      </c>
      <c r="AA37" s="178">
        <f t="shared" si="14"/>
        <v>1.4979195561719838</v>
      </c>
      <c r="AB37" s="178">
        <f t="shared" ref="AB37:AB68" si="65">0.5*AA37*Z37*Nps*W37/1000*(Pout/Pout_total)</f>
        <v>0.68715241775850722</v>
      </c>
      <c r="AC37" s="178"/>
      <c r="AD37" s="178">
        <f t="shared" si="16"/>
        <v>0.46857142857142853</v>
      </c>
      <c r="AE37" s="560">
        <f t="shared" ref="AE37:AE68" si="66">MAX(10, F37/(0.5*AD37/1000000*Isw_min*Nps)/1000*Pout_total/Pout)</f>
        <v>1332.5401546698397</v>
      </c>
      <c r="AF37" s="543">
        <f t="shared" ref="AF37:AF68" si="67">0.5*AD37/1000000*Isw_min*Nps*W37*1000*(Pout/Pout_total)</f>
        <v>6.723999999999998E-2</v>
      </c>
      <c r="AH37" s="178">
        <f t="shared" ref="AH37:AH68" si="68">SQRT((H37+I37)/(0.5*L*Fsw_DCM))</f>
        <v>2.0186881980177938</v>
      </c>
      <c r="AI37" s="178">
        <f t="shared" ref="AI37:AI68" si="69">MAX(IF(F37&gt;AB37,T37,AH37),Isw_min)</f>
        <v>2.0186881980177938</v>
      </c>
      <c r="AJ37" s="178">
        <f t="shared" ref="AJ37:AJ68" si="70">IF(F37&gt;AF37, (AI37-Isw_min)/1.08*0.8+1.2, AE37*0.2/350+1)</f>
        <v>2.0879171837168844</v>
      </c>
      <c r="AL37" s="560">
        <f t="shared" ref="AL37:AL68" si="71">F37*1000</f>
        <v>256</v>
      </c>
      <c r="AM37" s="470">
        <f t="shared" ref="AM37:AM68" si="72">IF(F37&gt;AF37, X37, AE37)</f>
        <v>350</v>
      </c>
      <c r="AO37">
        <f t="shared" si="44"/>
        <v>256</v>
      </c>
      <c r="AP37" s="470">
        <f t="shared" si="24"/>
        <v>350</v>
      </c>
      <c r="AQ37" s="470"/>
      <c r="AR37" s="6">
        <f t="shared" si="45"/>
        <v>2.8571428571428572</v>
      </c>
      <c r="AS37" s="6">
        <f t="shared" si="25"/>
        <v>1.0467272137870041</v>
      </c>
      <c r="AT37" s="6">
        <f t="shared" si="46"/>
        <v>1.8104156433558531</v>
      </c>
      <c r="AU37" s="178">
        <f t="shared" si="47"/>
        <v>0.36635452482545139</v>
      </c>
      <c r="AW37" s="6">
        <f>L*Iout^2/(2*Vripple1_spec*Vout*Npri_sec1^2)*1000000000*((1+N37)/(1-N37))^2</f>
        <v>12.324950464868163</v>
      </c>
      <c r="AX37" s="6">
        <f>L*F37^2/(2*Cout*Vout*Nps^2)*1000000000*((1+N37)/(1-N37))^2+F37*RCoutEsr</f>
        <v>3.9903189640914887</v>
      </c>
      <c r="AY37" s="6">
        <f>L*Iout2^2/(2*Vripple2_spec*Vout2*Npri_sec2^2)*1000000000*((1+N37)/(1-N37))^2</f>
        <v>4.8144337753391264</v>
      </c>
      <c r="AZ37" s="6">
        <f>L*G37^2/(2*Cout2*Vout2*Npri_sec2^2)*1000000000*((1+N37)/(1-N37))^2+G37*CoutEsr2</f>
        <v>1.738718345348238</v>
      </c>
      <c r="BA37" s="6">
        <f>(H37+I37)/Efficiency/J37*AT37/Vinripple1</f>
        <v>1.043978905971545</v>
      </c>
      <c r="BB37" s="470">
        <f>((BZ37/J37/Efficiency)*AT37/Cin+(BZ37/J37/Efficiency)*RCinEsr)*1000</f>
        <v>71.636295451324912</v>
      </c>
      <c r="BC37" s="6"/>
      <c r="BD37" s="178">
        <f t="shared" si="48"/>
        <v>0.70543888744962469</v>
      </c>
      <c r="BE37" s="178">
        <f t="shared" ref="BE37:BE68" si="73">AI37*Npri_sec1*SQRT((1-AU37)/3)*(Pout/Pout_total)</f>
        <v>0.92775175721343239</v>
      </c>
      <c r="BF37" s="178">
        <f t="shared" ref="BF37:BF68" si="74">AI37*Npri_sec2*SQRT((1-AU37)/3)*(Pout2/Pout_total)</f>
        <v>0.57984484825839511</v>
      </c>
      <c r="BG37" s="178"/>
      <c r="BH37" s="543">
        <f t="shared" si="28"/>
        <v>5.4740842631878069E-2</v>
      </c>
      <c r="BI37" s="543">
        <f t="shared" si="29"/>
        <v>9.0967136923176817E-2</v>
      </c>
      <c r="BJ37" s="543">
        <f t="shared" si="30"/>
        <v>1.7499999999999998E-2</v>
      </c>
      <c r="BK37" s="543">
        <f t="shared" si="31"/>
        <v>5.2216171874999995E-2</v>
      </c>
      <c r="BL37">
        <f t="shared" si="32"/>
        <v>3.9150000000000001E-3</v>
      </c>
      <c r="BM37" s="470">
        <f t="shared" si="49"/>
        <v>219.33915143005487</v>
      </c>
      <c r="BN37" s="178">
        <f t="shared" ref="BN37:BN68" si="75">Vfwd2*F37</f>
        <v>0.1024</v>
      </c>
      <c r="BO37" s="178">
        <f t="shared" ref="BO37:BO68" si="76">Vfwd2*G37</f>
        <v>6.4000000000000001E-2</v>
      </c>
      <c r="BP37" s="543"/>
      <c r="BR37" s="470">
        <f t="shared" si="50"/>
        <v>166.4</v>
      </c>
      <c r="BS37" s="543">
        <f t="shared" si="35"/>
        <v>1.9905760957046572E-2</v>
      </c>
      <c r="BT37" s="543">
        <f t="shared" si="51"/>
        <v>3.4428932920504467E-2</v>
      </c>
      <c r="BU37" s="543">
        <f t="shared" ref="BU37:BU68" si="77">Rdcr_sec2*BF37^2</f>
        <v>1.0086601441554037E-2</v>
      </c>
      <c r="BV37" s="543">
        <f t="shared" si="37"/>
        <v>0</v>
      </c>
      <c r="BW37" s="648">
        <f t="shared" ref="BW37:BW68" si="78">0.5*Lleak*0.000000001*AI37^2*AM37*1000</f>
        <v>5.3485714285714303E-2</v>
      </c>
      <c r="BX37" s="470">
        <f t="shared" si="52"/>
        <v>117.90700960481936</v>
      </c>
      <c r="BY37" s="178">
        <f t="shared" si="53"/>
        <v>0.50364616103487425</v>
      </c>
      <c r="BZ37" s="6">
        <f t="shared" si="54"/>
        <v>4.992</v>
      </c>
      <c r="CA37" s="178">
        <f t="shared" si="55"/>
        <v>0.90835542422548665</v>
      </c>
      <c r="CB37" s="6">
        <f t="shared" si="56"/>
        <v>90.83554242254867</v>
      </c>
      <c r="CC37">
        <f t="shared" si="57"/>
        <v>32</v>
      </c>
      <c r="CE37" s="577">
        <f t="shared" ref="CE37:CE68" si="79">IF(ABS(F37-Ioutmax_Vinnom)&lt;Iout/200, AM37, -50)</f>
        <v>-50</v>
      </c>
      <c r="CF37">
        <f t="shared" ref="CF37:CF68" si="80">IF(ABS(F37-Ioutmax_Vinnom)&lt;Iout/200, (O37+P37)*CA37, -50)</f>
        <v>-50</v>
      </c>
    </row>
    <row r="38" spans="5:84" x14ac:dyDescent="0.2">
      <c r="E38" s="175">
        <v>33</v>
      </c>
      <c r="F38" s="222">
        <f t="shared" si="58"/>
        <v>0.26400000000000001</v>
      </c>
      <c r="G38" s="222">
        <f t="shared" ref="G38:G69" si="81">IF(PLOT_TYPE=1, E38/100*Iout2, min_I*EXP(Q38*rr/100))</f>
        <v>0.16500000000000001</v>
      </c>
      <c r="H38" s="222">
        <f t="shared" si="60"/>
        <v>3.1680000000000001</v>
      </c>
      <c r="I38" s="222">
        <f t="shared" si="59"/>
        <v>1.98</v>
      </c>
      <c r="J38" s="556">
        <f t="shared" si="1"/>
        <v>13.5</v>
      </c>
      <c r="K38" s="452">
        <f t="shared" si="2"/>
        <v>12.25</v>
      </c>
      <c r="L38" s="452">
        <f t="shared" si="3"/>
        <v>25.75</v>
      </c>
      <c r="M38" s="452"/>
      <c r="N38" s="222">
        <f t="shared" si="4"/>
        <v>0.47572815533980584</v>
      </c>
      <c r="O38" s="177">
        <f t="shared" ref="O38:O69" si="82">N38*J38*Isw_max*0.5*Efficiency*Pout/(Pout+Pout2)</f>
        <v>7.6969156086631818</v>
      </c>
      <c r="P38" s="177">
        <f t="shared" si="61"/>
        <v>7.8171799150485421</v>
      </c>
      <c r="Q38" s="222">
        <f t="shared" si="6"/>
        <v>0.64140963405526519</v>
      </c>
      <c r="R38" s="222">
        <f t="shared" si="62"/>
        <v>0.64140963405526519</v>
      </c>
      <c r="S38" s="452">
        <f t="shared" si="63"/>
        <v>12</v>
      </c>
      <c r="T38" s="222">
        <f t="shared" si="64"/>
        <v>1.687533118510562</v>
      </c>
      <c r="U38" s="222">
        <f t="shared" si="10"/>
        <v>0.87501717256103217</v>
      </c>
      <c r="V38" s="222">
        <f t="shared" si="11"/>
        <v>0.96430463914889253</v>
      </c>
      <c r="W38" s="202">
        <f t="shared" si="12"/>
        <v>350</v>
      </c>
      <c r="X38" s="452">
        <f t="shared" si="43"/>
        <v>350</v>
      </c>
      <c r="Z38" s="222">
        <f t="shared" si="13"/>
        <v>2.6213592233009715</v>
      </c>
      <c r="AA38" s="178">
        <f t="shared" si="14"/>
        <v>1.4979195561719838</v>
      </c>
      <c r="AB38" s="178">
        <f t="shared" si="65"/>
        <v>0.68715241775850722</v>
      </c>
      <c r="AC38" s="178"/>
      <c r="AD38" s="178">
        <f t="shared" si="16"/>
        <v>0.46857142857142853</v>
      </c>
      <c r="AE38" s="560">
        <f t="shared" si="66"/>
        <v>1374.1820345032722</v>
      </c>
      <c r="AF38" s="543">
        <f t="shared" si="67"/>
        <v>6.723999999999998E-2</v>
      </c>
      <c r="AH38" s="178">
        <f t="shared" si="68"/>
        <v>2.0499875559602394</v>
      </c>
      <c r="AI38" s="178">
        <f t="shared" si="69"/>
        <v>2.0499875559602394</v>
      </c>
      <c r="AJ38" s="178">
        <f t="shared" si="70"/>
        <v>2.1111018933038812</v>
      </c>
      <c r="AL38" s="560">
        <f t="shared" si="71"/>
        <v>264</v>
      </c>
      <c r="AM38" s="470">
        <f t="shared" si="72"/>
        <v>350</v>
      </c>
      <c r="AO38">
        <f t="shared" si="44"/>
        <v>264</v>
      </c>
      <c r="AP38" s="470">
        <f t="shared" si="24"/>
        <v>350</v>
      </c>
      <c r="AQ38" s="470"/>
      <c r="AR38" s="6">
        <f t="shared" si="45"/>
        <v>2.8571428571428572</v>
      </c>
      <c r="AS38" s="6">
        <f t="shared" si="25"/>
        <v>1.062956510497902</v>
      </c>
      <c r="AT38" s="6">
        <f t="shared" si="46"/>
        <v>1.7941863466449552</v>
      </c>
      <c r="AU38" s="178">
        <f t="shared" si="47"/>
        <v>0.37203477867426565</v>
      </c>
      <c r="AW38" s="6">
        <f>L*Iout^2/(2*Vripple1_spec*Vout*Npri_sec1^2)*1000000000*((1+N38)/(1-N38))^2</f>
        <v>12.324950464868163</v>
      </c>
      <c r="AX38" s="6">
        <f>L*F38^2/(2*Cout*Vout*Nps^2)*1000000000*((1+N38)/(1-N38))^2+F38*RCoutEsr</f>
        <v>4.2188606952105783</v>
      </c>
      <c r="AY38" s="6">
        <f>L*Iout2^2/(2*Vripple2_spec*Vout2*Npri_sec2^2)*1000000000*((1+N38)/(1-N38))^2</f>
        <v>4.8144337753391264</v>
      </c>
      <c r="AZ38" s="6">
        <f>L*G38^2/(2*Cout2*Vout2*Npri_sec2^2)*1000000000*((1+N38)/(1-N38))^2+G38*CoutEsr2</f>
        <v>1.8336174590666321</v>
      </c>
      <c r="BA38" s="6">
        <f>(H38+I38)/Efficiency/J38*AT38/Vinripple1</f>
        <v>1.0669521406429259</v>
      </c>
      <c r="BB38" s="470">
        <f>((BZ38/J38/Efficiency)*AT38/Cin+(BZ38/J38/Efficiency)*RCinEsr)*1000</f>
        <v>73.223480019713293</v>
      </c>
      <c r="BC38" s="6"/>
      <c r="BD38" s="178">
        <f t="shared" si="48"/>
        <v>0.7219088529753005</v>
      </c>
      <c r="BE38" s="178">
        <f t="shared" si="73"/>
        <v>0.937904011360703</v>
      </c>
      <c r="BF38" s="178">
        <f t="shared" si="74"/>
        <v>0.58619000710043923</v>
      </c>
      <c r="BG38" s="178"/>
      <c r="BH38" s="543">
        <f t="shared" si="28"/>
        <v>5.732676312045254E-2</v>
      </c>
      <c r="BI38" s="543">
        <f t="shared" si="29"/>
        <v>9.2377564240458288E-2</v>
      </c>
      <c r="BJ38" s="543">
        <f t="shared" si="30"/>
        <v>1.7499999999999998E-2</v>
      </c>
      <c r="BK38" s="543">
        <f t="shared" si="31"/>
        <v>5.2216171874999995E-2</v>
      </c>
      <c r="BL38">
        <f t="shared" si="32"/>
        <v>3.9150000000000001E-3</v>
      </c>
      <c r="BM38" s="470">
        <f t="shared" si="49"/>
        <v>223.33549923591082</v>
      </c>
      <c r="BN38" s="178">
        <f t="shared" si="75"/>
        <v>0.10560000000000001</v>
      </c>
      <c r="BO38" s="178">
        <f t="shared" si="76"/>
        <v>6.6000000000000003E-2</v>
      </c>
      <c r="BP38" s="543"/>
      <c r="BR38" s="470">
        <f t="shared" si="50"/>
        <v>171.60000000000002</v>
      </c>
      <c r="BS38" s="543">
        <f t="shared" si="35"/>
        <v>2.0846095680164562E-2</v>
      </c>
      <c r="BT38" s="543">
        <f t="shared" si="51"/>
        <v>3.5186557381059906E-2</v>
      </c>
      <c r="BU38" s="543">
        <f t="shared" si="77"/>
        <v>1.0308561732732389E-2</v>
      </c>
      <c r="BV38" s="543">
        <f t="shared" si="37"/>
        <v>0</v>
      </c>
      <c r="BW38" s="648">
        <f t="shared" si="78"/>
        <v>5.5157142857142849E-2</v>
      </c>
      <c r="BX38" s="470">
        <f t="shared" si="52"/>
        <v>121.49835765109971</v>
      </c>
      <c r="BY38" s="178">
        <f t="shared" si="53"/>
        <v>0.51643385688701049</v>
      </c>
      <c r="BZ38" s="6">
        <f t="shared" si="54"/>
        <v>5.1479999999999997</v>
      </c>
      <c r="CA38" s="178">
        <f t="shared" si="55"/>
        <v>0.90882868969171338</v>
      </c>
      <c r="CB38" s="6">
        <f t="shared" si="56"/>
        <v>90.882868969171341</v>
      </c>
      <c r="CC38">
        <f t="shared" ref="CC38:CC69" si="83">F38/Iout*100</f>
        <v>33</v>
      </c>
      <c r="CE38" s="577">
        <f t="shared" si="79"/>
        <v>-50</v>
      </c>
      <c r="CF38">
        <f t="shared" si="80"/>
        <v>-50</v>
      </c>
    </row>
    <row r="39" spans="5:84" x14ac:dyDescent="0.2">
      <c r="E39" s="175">
        <v>34</v>
      </c>
      <c r="F39" s="222">
        <f t="shared" si="58"/>
        <v>0.27200000000000002</v>
      </c>
      <c r="G39" s="222">
        <f t="shared" si="81"/>
        <v>0.17</v>
      </c>
      <c r="H39" s="222">
        <f t="shared" si="60"/>
        <v>3.2640000000000002</v>
      </c>
      <c r="I39" s="222">
        <f t="shared" si="59"/>
        <v>2.04</v>
      </c>
      <c r="J39" s="556">
        <f t="shared" si="1"/>
        <v>13.5</v>
      </c>
      <c r="K39" s="452">
        <f t="shared" si="2"/>
        <v>12.25</v>
      </c>
      <c r="L39" s="452">
        <f t="shared" si="3"/>
        <v>25.75</v>
      </c>
      <c r="M39" s="452"/>
      <c r="N39" s="222">
        <f t="shared" si="4"/>
        <v>0.47572815533980584</v>
      </c>
      <c r="O39" s="177">
        <f t="shared" si="82"/>
        <v>7.6969156086631818</v>
      </c>
      <c r="P39" s="177">
        <f t="shared" si="61"/>
        <v>7.8171799150485421</v>
      </c>
      <c r="Q39" s="222">
        <f t="shared" si="6"/>
        <v>0.64140963405526519</v>
      </c>
      <c r="R39" s="222">
        <f t="shared" si="62"/>
        <v>0.64140963405526519</v>
      </c>
      <c r="S39" s="452">
        <f t="shared" si="63"/>
        <v>12</v>
      </c>
      <c r="T39" s="222">
        <f t="shared" si="64"/>
        <v>1.738670485738155</v>
      </c>
      <c r="U39" s="222">
        <f t="shared" si="10"/>
        <v>0.90153284445682103</v>
      </c>
      <c r="V39" s="222">
        <f t="shared" si="11"/>
        <v>0.99352599185037438</v>
      </c>
      <c r="W39" s="202">
        <f t="shared" si="12"/>
        <v>350</v>
      </c>
      <c r="X39" s="452">
        <f t="shared" si="43"/>
        <v>350</v>
      </c>
      <c r="Z39" s="222">
        <f t="shared" si="13"/>
        <v>2.6213592233009715</v>
      </c>
      <c r="AA39" s="178">
        <f t="shared" si="14"/>
        <v>1.4979195561719838</v>
      </c>
      <c r="AB39" s="178">
        <f t="shared" si="65"/>
        <v>0.68715241775850722</v>
      </c>
      <c r="AC39" s="178"/>
      <c r="AD39" s="178">
        <f t="shared" si="16"/>
        <v>0.46857142857142853</v>
      </c>
      <c r="AE39" s="560">
        <f t="shared" si="66"/>
        <v>1415.8239143367045</v>
      </c>
      <c r="AF39" s="543">
        <f t="shared" si="67"/>
        <v>6.723999999999998E-2</v>
      </c>
      <c r="AH39" s="178">
        <f t="shared" si="68"/>
        <v>2.0808161664037854</v>
      </c>
      <c r="AI39" s="178">
        <f t="shared" si="69"/>
        <v>2.0808161664037854</v>
      </c>
      <c r="AJ39" s="178">
        <f t="shared" si="70"/>
        <v>2.1339379010398409</v>
      </c>
      <c r="AL39" s="560">
        <f t="shared" si="71"/>
        <v>272</v>
      </c>
      <c r="AM39" s="470">
        <f t="shared" si="72"/>
        <v>350</v>
      </c>
      <c r="AO39">
        <f t="shared" si="44"/>
        <v>272</v>
      </c>
      <c r="AP39" s="470">
        <f t="shared" si="24"/>
        <v>350</v>
      </c>
      <c r="AQ39" s="470"/>
      <c r="AR39" s="6">
        <f t="shared" si="45"/>
        <v>2.8571428571428572</v>
      </c>
      <c r="AS39" s="6">
        <f t="shared" si="25"/>
        <v>1.0789417159130739</v>
      </c>
      <c r="AT39" s="6">
        <f t="shared" si="46"/>
        <v>1.7782011412297833</v>
      </c>
      <c r="AU39" s="178">
        <f t="shared" si="47"/>
        <v>0.37762960056957584</v>
      </c>
      <c r="AW39" s="6">
        <f>L*Iout^2/(2*Vripple1_spec*Vout*Npri_sec1^2)*1000000000*((1+N39)/(1-N39))^2</f>
        <v>12.324950464868163</v>
      </c>
      <c r="AX39" s="6">
        <f>L*F39^2/(2*Cout*Vout*Nps^2)*1000000000*((1+N39)/(1-N39))^2+F39*RCoutEsr</f>
        <v>4.4536960180564078</v>
      </c>
      <c r="AY39" s="6">
        <f>L*Iout2^2/(2*Vripple2_spec*Vout2*Npri_sec2^2)*1000000000*((1+N39)/(1-N39))^2</f>
        <v>4.8144337753391264</v>
      </c>
      <c r="AZ39" s="6">
        <f>L*G39^2/(2*Cout2*Vout2*Npri_sec2^2)*1000000000*((1+N39)/(1-N39))^2+G39*CoutEsr2</f>
        <v>1.9309750070532841</v>
      </c>
      <c r="BA39" s="6">
        <f>(H39+I39)/Efficiency/J39*AT39/Vinripple1</f>
        <v>1.0894900126295888</v>
      </c>
      <c r="BB39" s="470">
        <f>((BZ39/J39/Efficiency)*AT39/Cin+(BZ39/J39/Efficiency)*RCinEsr)*1000</f>
        <v>74.781277606883222</v>
      </c>
      <c r="BC39" s="6"/>
      <c r="BD39" s="178">
        <f t="shared" si="48"/>
        <v>0.73825449613730554</v>
      </c>
      <c r="BE39" s="178">
        <f t="shared" si="73"/>
        <v>0.94775819967727093</v>
      </c>
      <c r="BF39" s="178">
        <f t="shared" si="74"/>
        <v>0.59234887479829423</v>
      </c>
      <c r="BG39" s="178"/>
      <c r="BH39" s="543">
        <f t="shared" si="28"/>
        <v>5.9952167117364154E-2</v>
      </c>
      <c r="BI39" s="543">
        <f t="shared" si="29"/>
        <v>9.3766778498570583E-2</v>
      </c>
      <c r="BJ39" s="543">
        <f t="shared" si="30"/>
        <v>1.7499999999999998E-2</v>
      </c>
      <c r="BK39" s="543">
        <f t="shared" si="31"/>
        <v>5.2216171874999995E-2</v>
      </c>
      <c r="BL39">
        <f t="shared" si="32"/>
        <v>3.9150000000000001E-3</v>
      </c>
      <c r="BM39" s="470">
        <f t="shared" si="49"/>
        <v>227.35011749093474</v>
      </c>
      <c r="BN39" s="178">
        <f t="shared" si="75"/>
        <v>0.10880000000000001</v>
      </c>
      <c r="BO39" s="178">
        <f t="shared" si="76"/>
        <v>6.8000000000000005E-2</v>
      </c>
      <c r="BP39" s="543"/>
      <c r="BR39" s="470">
        <f t="shared" si="50"/>
        <v>176.8</v>
      </c>
      <c r="BS39" s="543">
        <f t="shared" si="35"/>
        <v>2.1800788042677873E-2</v>
      </c>
      <c r="BT39" s="543">
        <f t="shared" si="51"/>
        <v>3.5929824202220073E-2</v>
      </c>
      <c r="BU39" s="543">
        <f t="shared" si="77"/>
        <v>1.0526315684244157E-2</v>
      </c>
      <c r="BV39" s="543">
        <f t="shared" si="37"/>
        <v>0</v>
      </c>
      <c r="BW39" s="648">
        <f t="shared" si="78"/>
        <v>5.6828571428571416E-2</v>
      </c>
      <c r="BX39" s="470">
        <f t="shared" si="52"/>
        <v>125.08549935771352</v>
      </c>
      <c r="BY39" s="178">
        <f t="shared" si="53"/>
        <v>0.52923561684864828</v>
      </c>
      <c r="BZ39" s="6">
        <f t="shared" si="54"/>
        <v>5.3040000000000003</v>
      </c>
      <c r="CA39" s="178">
        <f t="shared" si="55"/>
        <v>0.90927237444000875</v>
      </c>
      <c r="CB39" s="6">
        <f t="shared" si="56"/>
        <v>90.92723744400088</v>
      </c>
      <c r="CC39">
        <f t="shared" si="83"/>
        <v>34</v>
      </c>
      <c r="CE39" s="577">
        <f t="shared" si="79"/>
        <v>-50</v>
      </c>
      <c r="CF39">
        <f t="shared" si="80"/>
        <v>-50</v>
      </c>
    </row>
    <row r="40" spans="5:84" x14ac:dyDescent="0.2">
      <c r="E40" s="175">
        <v>35</v>
      </c>
      <c r="F40" s="222">
        <f t="shared" ref="F40:F71" si="84">IF(PLOT_TYPE=1, E40/100*Iout_max, min_I*EXP(O40*rr/100))</f>
        <v>0.27999999999999997</v>
      </c>
      <c r="G40" s="222">
        <f t="shared" si="81"/>
        <v>0.17499999999999999</v>
      </c>
      <c r="H40" s="222">
        <f t="shared" si="60"/>
        <v>3.3599999999999994</v>
      </c>
      <c r="I40" s="222">
        <f t="shared" ref="I40:I71" si="85">Vout2*G40</f>
        <v>2.0999999999999996</v>
      </c>
      <c r="J40" s="556">
        <f t="shared" si="1"/>
        <v>13.5</v>
      </c>
      <c r="K40" s="452">
        <f t="shared" si="2"/>
        <v>12.25</v>
      </c>
      <c r="L40" s="452">
        <f t="shared" si="3"/>
        <v>25.75</v>
      </c>
      <c r="M40" s="452"/>
      <c r="N40" s="222">
        <f t="shared" si="4"/>
        <v>0.47572815533980584</v>
      </c>
      <c r="O40" s="177">
        <f t="shared" si="82"/>
        <v>7.6969156086631818</v>
      </c>
      <c r="P40" s="177">
        <f t="shared" si="61"/>
        <v>7.8171799150485421</v>
      </c>
      <c r="Q40" s="222">
        <f t="shared" si="6"/>
        <v>0.64140963405526519</v>
      </c>
      <c r="R40" s="222">
        <f t="shared" si="62"/>
        <v>0.64140963405526519</v>
      </c>
      <c r="S40" s="452">
        <f t="shared" si="63"/>
        <v>12</v>
      </c>
      <c r="T40" s="222">
        <f t="shared" si="64"/>
        <v>1.7898078529657473</v>
      </c>
      <c r="U40" s="222">
        <f t="shared" si="10"/>
        <v>0.92804851635260976</v>
      </c>
      <c r="V40" s="222">
        <f t="shared" si="11"/>
        <v>1.0227473445518556</v>
      </c>
      <c r="W40" s="202">
        <f t="shared" si="12"/>
        <v>350</v>
      </c>
      <c r="X40" s="452">
        <f t="shared" si="43"/>
        <v>350</v>
      </c>
      <c r="Z40" s="222">
        <f t="shared" si="13"/>
        <v>2.6213592233009715</v>
      </c>
      <c r="AA40" s="178">
        <f t="shared" si="14"/>
        <v>1.4979195561719838</v>
      </c>
      <c r="AB40" s="178">
        <f t="shared" si="65"/>
        <v>0.68715241775850722</v>
      </c>
      <c r="AC40" s="178"/>
      <c r="AD40" s="178">
        <f t="shared" si="16"/>
        <v>0.46857142857142853</v>
      </c>
      <c r="AE40" s="560">
        <f t="shared" si="66"/>
        <v>1457.4657941701371</v>
      </c>
      <c r="AF40" s="543">
        <f t="shared" si="67"/>
        <v>6.723999999999998E-2</v>
      </c>
      <c r="AH40" s="178">
        <f t="shared" si="68"/>
        <v>2.1111946516469904</v>
      </c>
      <c r="AI40" s="178">
        <f t="shared" si="69"/>
        <v>2.1111946516469904</v>
      </c>
      <c r="AJ40" s="178">
        <f t="shared" si="70"/>
        <v>2.1564404827014743</v>
      </c>
      <c r="AL40" s="560">
        <f t="shared" si="71"/>
        <v>279.99999999999994</v>
      </c>
      <c r="AM40" s="470">
        <f t="shared" si="72"/>
        <v>350</v>
      </c>
      <c r="AO40">
        <f t="shared" si="44"/>
        <v>279.99999999999994</v>
      </c>
      <c r="AP40" s="470">
        <f t="shared" si="24"/>
        <v>350</v>
      </c>
      <c r="AQ40" s="470"/>
      <c r="AR40" s="6">
        <f t="shared" si="45"/>
        <v>2.8571428571428572</v>
      </c>
      <c r="AS40" s="6">
        <f t="shared" si="25"/>
        <v>1.0946935230762174</v>
      </c>
      <c r="AT40" s="6">
        <f t="shared" si="46"/>
        <v>1.7624493340666398</v>
      </c>
      <c r="AU40" s="178">
        <f t="shared" si="47"/>
        <v>0.38314273307667607</v>
      </c>
      <c r="AW40" s="6">
        <f>L*Iout^2/(2*Vripple1_spec*Vout*Npri_sec1^2)*1000000000*((1+N40)/(1-N40))^2</f>
        <v>12.324950464868163</v>
      </c>
      <c r="AX40" s="6">
        <f>L*F40^2/(2*Cout*Vout*Nps^2)*1000000000*((1+N40)/(1-N40))^2+F40*RCoutEsr</f>
        <v>4.6948249326289773</v>
      </c>
      <c r="AY40" s="6">
        <f>L*Iout2^2/(2*Vripple2_spec*Vout2*Npri_sec2^2)*1000000000*((1+N40)/(1-N40))^2</f>
        <v>4.8144337753391264</v>
      </c>
      <c r="AZ40" s="6">
        <f>L*G40^2/(2*Cout2*Vout2*Npri_sec2^2)*1000000000*((1+N40)/(1-N40))^2+G40*CoutEsr2</f>
        <v>2.0307909893081941</v>
      </c>
      <c r="BA40" s="6">
        <f>(H40+I40)/Efficiency/J40*AT40/Vinripple1</f>
        <v>1.1115989735330418</v>
      </c>
      <c r="BB40" s="470">
        <f>((BZ40/J40/Efficiency)*AT40/Cin+(BZ40/J40/Efficiency)*RCinEsr)*1000</f>
        <v>76.310123695936468</v>
      </c>
      <c r="BC40" s="6"/>
      <c r="BD40" s="178">
        <f t="shared" si="48"/>
        <v>0.75448037217652864</v>
      </c>
      <c r="BE40" s="178">
        <f t="shared" si="73"/>
        <v>0.95732630472303049</v>
      </c>
      <c r="BF40" s="178">
        <f t="shared" si="74"/>
        <v>0.598328940451894</v>
      </c>
      <c r="BG40" s="178"/>
      <c r="BH40" s="543">
        <f t="shared" si="28"/>
        <v>6.2616469519959653E-2</v>
      </c>
      <c r="BI40" s="543">
        <f t="shared" si="29"/>
        <v>9.5135708989842513E-2</v>
      </c>
      <c r="BJ40" s="543">
        <f t="shared" si="30"/>
        <v>1.7499999999999998E-2</v>
      </c>
      <c r="BK40" s="543">
        <f t="shared" si="31"/>
        <v>5.2216171874999995E-2</v>
      </c>
      <c r="BL40">
        <f t="shared" si="32"/>
        <v>3.9150000000000001E-3</v>
      </c>
      <c r="BM40" s="470">
        <f t="shared" si="49"/>
        <v>231.38335038480216</v>
      </c>
      <c r="BN40" s="178">
        <f t="shared" si="75"/>
        <v>0.11199999999999999</v>
      </c>
      <c r="BO40" s="178">
        <f t="shared" si="76"/>
        <v>6.9999999999999993E-2</v>
      </c>
      <c r="BP40" s="543"/>
      <c r="BR40" s="470">
        <f t="shared" si="50"/>
        <v>182</v>
      </c>
      <c r="BS40" s="543">
        <f t="shared" si="35"/>
        <v>2.2769625279985325E-2</v>
      </c>
      <c r="BT40" s="543">
        <f t="shared" si="51"/>
        <v>3.6658946148586107E-2</v>
      </c>
      <c r="BU40" s="543">
        <f t="shared" si="77"/>
        <v>1.0739925629468582E-2</v>
      </c>
      <c r="BV40" s="543">
        <f t="shared" si="37"/>
        <v>0</v>
      </c>
      <c r="BW40" s="648">
        <f t="shared" si="78"/>
        <v>5.850000000000001E-2</v>
      </c>
      <c r="BX40" s="470">
        <f t="shared" si="52"/>
        <v>128.66849705804</v>
      </c>
      <c r="BY40" s="178">
        <f t="shared" si="53"/>
        <v>0.54205184744284218</v>
      </c>
      <c r="BZ40" s="6">
        <f t="shared" si="54"/>
        <v>5.4599999999999991</v>
      </c>
      <c r="CA40" s="178">
        <f t="shared" si="55"/>
        <v>0.90968890952286896</v>
      </c>
      <c r="CB40" s="6">
        <f t="shared" si="56"/>
        <v>90.968890952286898</v>
      </c>
      <c r="CC40">
        <f t="shared" si="83"/>
        <v>34.999999999999993</v>
      </c>
      <c r="CE40" s="577">
        <f t="shared" si="79"/>
        <v>-50</v>
      </c>
      <c r="CF40">
        <f t="shared" si="80"/>
        <v>-50</v>
      </c>
    </row>
    <row r="41" spans="5:84" x14ac:dyDescent="0.2">
      <c r="E41" s="175">
        <v>36</v>
      </c>
      <c r="F41" s="222">
        <f t="shared" si="84"/>
        <v>0.28799999999999998</v>
      </c>
      <c r="G41" s="222">
        <f t="shared" si="81"/>
        <v>0.18</v>
      </c>
      <c r="H41" s="222">
        <f t="shared" si="60"/>
        <v>3.4559999999999995</v>
      </c>
      <c r="I41" s="222">
        <f t="shared" si="85"/>
        <v>2.16</v>
      </c>
      <c r="J41" s="556">
        <f t="shared" si="1"/>
        <v>13.5</v>
      </c>
      <c r="K41" s="452">
        <f t="shared" si="2"/>
        <v>12.25</v>
      </c>
      <c r="L41" s="452">
        <f t="shared" si="3"/>
        <v>25.75</v>
      </c>
      <c r="M41" s="452"/>
      <c r="N41" s="222">
        <f t="shared" si="4"/>
        <v>0.47572815533980584</v>
      </c>
      <c r="O41" s="177">
        <f t="shared" si="82"/>
        <v>7.6969156086631818</v>
      </c>
      <c r="P41" s="177">
        <f t="shared" si="61"/>
        <v>7.8171799150485421</v>
      </c>
      <c r="Q41" s="222">
        <f t="shared" si="6"/>
        <v>0.64140963405526519</v>
      </c>
      <c r="R41" s="222">
        <f t="shared" si="62"/>
        <v>0.64140963405526519</v>
      </c>
      <c r="S41" s="452">
        <f t="shared" si="63"/>
        <v>12</v>
      </c>
      <c r="T41" s="222">
        <f t="shared" si="64"/>
        <v>1.8409452201933403</v>
      </c>
      <c r="U41" s="222">
        <f t="shared" si="10"/>
        <v>0.95456418824839862</v>
      </c>
      <c r="V41" s="222">
        <f t="shared" si="11"/>
        <v>1.0519686972533373</v>
      </c>
      <c r="W41" s="202">
        <f t="shared" si="12"/>
        <v>350</v>
      </c>
      <c r="X41" s="452">
        <f t="shared" si="43"/>
        <v>350</v>
      </c>
      <c r="Z41" s="222">
        <f t="shared" si="13"/>
        <v>2.6213592233009715</v>
      </c>
      <c r="AA41" s="178">
        <f t="shared" si="14"/>
        <v>1.4979195561719838</v>
      </c>
      <c r="AB41" s="178">
        <f t="shared" si="65"/>
        <v>0.68715241775850722</v>
      </c>
      <c r="AC41" s="178"/>
      <c r="AD41" s="178">
        <f t="shared" si="16"/>
        <v>0.46857142857142853</v>
      </c>
      <c r="AE41" s="560">
        <f t="shared" si="66"/>
        <v>1499.1076740035694</v>
      </c>
      <c r="AF41" s="543">
        <f t="shared" si="67"/>
        <v>6.723999999999998E-2</v>
      </c>
      <c r="AH41" s="178">
        <f t="shared" si="68"/>
        <v>2.1411421708794505</v>
      </c>
      <c r="AI41" s="178">
        <f t="shared" si="69"/>
        <v>2.1411421708794505</v>
      </c>
      <c r="AJ41" s="178">
        <f t="shared" si="70"/>
        <v>2.1786238302810745</v>
      </c>
      <c r="AL41" s="560">
        <f t="shared" si="71"/>
        <v>288</v>
      </c>
      <c r="AM41" s="470">
        <f t="shared" si="72"/>
        <v>350</v>
      </c>
      <c r="AO41">
        <f t="shared" si="44"/>
        <v>288</v>
      </c>
      <c r="AP41" s="470">
        <f t="shared" si="24"/>
        <v>350</v>
      </c>
      <c r="AQ41" s="470"/>
      <c r="AR41" s="6">
        <f t="shared" si="45"/>
        <v>2.8571428571428572</v>
      </c>
      <c r="AS41" s="6">
        <f t="shared" si="25"/>
        <v>1.1102218663819372</v>
      </c>
      <c r="AT41" s="6">
        <f t="shared" si="46"/>
        <v>1.74692099076092</v>
      </c>
      <c r="AU41" s="178">
        <f t="shared" si="47"/>
        <v>0.38857765323367799</v>
      </c>
      <c r="AW41" s="6">
        <f>L*Iout^2/(2*Vripple1_spec*Vout*Npri_sec1^2)*1000000000*((1+N41)/(1-N41))^2</f>
        <v>12.324950464868163</v>
      </c>
      <c r="AX41" s="6">
        <f>L*F41^2/(2*Cout*Vout*Nps^2)*1000000000*((1+N41)/(1-N41))^2+F41*RCoutEsr</f>
        <v>4.9422474389282902</v>
      </c>
      <c r="AY41" s="6">
        <f>L*Iout2^2/(2*Vripple2_spec*Vout2*Npri_sec2^2)*1000000000*((1+N41)/(1-N41))^2</f>
        <v>4.8144337753391264</v>
      </c>
      <c r="AZ41" s="6">
        <f>L*G41^2/(2*Cout2*Vout2*Npri_sec2^2)*1000000000*((1+N41)/(1-N41))^2+G41*CoutEsr2</f>
        <v>2.1330654058313634</v>
      </c>
      <c r="BA41" s="6">
        <f>(H41+I41)/Efficiency/J41*AT41/Vinripple1</f>
        <v>1.1332851963454855</v>
      </c>
      <c r="BB41" s="470">
        <f>((BZ41/J41/Efficiency)*AT41/Cin+(BZ41/J41/Efficiency)*RCinEsr)*1000</f>
        <v>77.810434963846603</v>
      </c>
      <c r="BC41" s="6"/>
      <c r="BD41" s="178">
        <f t="shared" si="48"/>
        <v>0.77059074442311304</v>
      </c>
      <c r="BE41" s="178">
        <f t="shared" si="73"/>
        <v>0.966619454550525</v>
      </c>
      <c r="BF41" s="178">
        <f t="shared" si="74"/>
        <v>0.60413715909407806</v>
      </c>
      <c r="BG41" s="178"/>
      <c r="BH41" s="543">
        <f t="shared" si="28"/>
        <v>6.5319110492962421E-2</v>
      </c>
      <c r="BI41" s="543">
        <f t="shared" si="29"/>
        <v>9.6485219075255244E-2</v>
      </c>
      <c r="BJ41" s="543">
        <f t="shared" si="30"/>
        <v>1.7499999999999998E-2</v>
      </c>
      <c r="BK41" s="543">
        <f t="shared" si="31"/>
        <v>5.2216171874999995E-2</v>
      </c>
      <c r="BL41">
        <f t="shared" si="32"/>
        <v>3.9150000000000001E-3</v>
      </c>
      <c r="BM41" s="470">
        <f t="shared" si="49"/>
        <v>235.43550144321765</v>
      </c>
      <c r="BN41" s="178">
        <f t="shared" si="75"/>
        <v>0.1152</v>
      </c>
      <c r="BO41" s="178">
        <f t="shared" si="76"/>
        <v>7.1999999999999995E-2</v>
      </c>
      <c r="BP41" s="543"/>
      <c r="BR41" s="470">
        <f t="shared" si="50"/>
        <v>187.2</v>
      </c>
      <c r="BS41" s="543">
        <f t="shared" si="35"/>
        <v>2.37524038156227E-2</v>
      </c>
      <c r="BT41" s="543">
        <f t="shared" si="51"/>
        <v>3.7374126796622179E-2</v>
      </c>
      <c r="BU41" s="543">
        <f t="shared" si="77"/>
        <v>1.0949451209947902E-2</v>
      </c>
      <c r="BV41" s="543">
        <f t="shared" si="37"/>
        <v>0</v>
      </c>
      <c r="BW41" s="648">
        <f t="shared" si="78"/>
        <v>6.0171428571428556E-2</v>
      </c>
      <c r="BX41" s="470">
        <f t="shared" si="52"/>
        <v>132.24741039362135</v>
      </c>
      <c r="BY41" s="178">
        <f t="shared" si="53"/>
        <v>0.55488291183683902</v>
      </c>
      <c r="BZ41" s="6">
        <f t="shared" si="54"/>
        <v>5.6159999999999997</v>
      </c>
      <c r="CA41" s="178">
        <f t="shared" si="55"/>
        <v>0.91008046664238662</v>
      </c>
      <c r="CB41" s="6">
        <f t="shared" si="56"/>
        <v>91.008046664238663</v>
      </c>
      <c r="CC41">
        <f t="shared" si="83"/>
        <v>35.999999999999993</v>
      </c>
      <c r="CE41" s="577">
        <f t="shared" si="79"/>
        <v>-50</v>
      </c>
      <c r="CF41">
        <f t="shared" si="80"/>
        <v>-50</v>
      </c>
    </row>
    <row r="42" spans="5:84" x14ac:dyDescent="0.2">
      <c r="E42" s="175">
        <v>37</v>
      </c>
      <c r="F42" s="222">
        <f t="shared" si="84"/>
        <v>0.29599999999999999</v>
      </c>
      <c r="G42" s="222">
        <f t="shared" si="81"/>
        <v>0.185</v>
      </c>
      <c r="H42" s="222">
        <f t="shared" si="60"/>
        <v>3.5519999999999996</v>
      </c>
      <c r="I42" s="222">
        <f t="shared" si="85"/>
        <v>2.2199999999999998</v>
      </c>
      <c r="J42" s="556">
        <f t="shared" si="1"/>
        <v>13.5</v>
      </c>
      <c r="K42" s="452">
        <f t="shared" si="2"/>
        <v>12.25</v>
      </c>
      <c r="L42" s="452">
        <f t="shared" si="3"/>
        <v>25.75</v>
      </c>
      <c r="M42" s="452"/>
      <c r="N42" s="222">
        <f t="shared" si="4"/>
        <v>0.47572815533980584</v>
      </c>
      <c r="O42" s="177">
        <f t="shared" si="82"/>
        <v>7.6969156086631818</v>
      </c>
      <c r="P42" s="177">
        <f t="shared" si="61"/>
        <v>7.8171799150485421</v>
      </c>
      <c r="Q42" s="222">
        <f t="shared" si="6"/>
        <v>0.64140963405526519</v>
      </c>
      <c r="R42" s="222">
        <f t="shared" si="62"/>
        <v>0.64140963405526519</v>
      </c>
      <c r="S42" s="452">
        <f t="shared" si="63"/>
        <v>12</v>
      </c>
      <c r="T42" s="222">
        <f t="shared" si="64"/>
        <v>1.892082587420933</v>
      </c>
      <c r="U42" s="222">
        <f t="shared" si="10"/>
        <v>0.98107986014418747</v>
      </c>
      <c r="V42" s="222">
        <f t="shared" si="11"/>
        <v>1.0811900499548188</v>
      </c>
      <c r="W42" s="202">
        <f t="shared" si="12"/>
        <v>350</v>
      </c>
      <c r="X42" s="452">
        <f t="shared" si="43"/>
        <v>350</v>
      </c>
      <c r="Z42" s="222">
        <f t="shared" si="13"/>
        <v>2.6213592233009715</v>
      </c>
      <c r="AA42" s="178">
        <f t="shared" si="14"/>
        <v>1.4979195561719838</v>
      </c>
      <c r="AB42" s="178">
        <f t="shared" si="65"/>
        <v>0.68715241775850722</v>
      </c>
      <c r="AC42" s="178"/>
      <c r="AD42" s="178">
        <f t="shared" si="16"/>
        <v>0.46857142857142853</v>
      </c>
      <c r="AE42" s="560">
        <f t="shared" si="66"/>
        <v>1540.7495538370019</v>
      </c>
      <c r="AF42" s="543">
        <f t="shared" si="67"/>
        <v>6.723999999999998E-2</v>
      </c>
      <c r="AH42" s="178">
        <f t="shared" si="68"/>
        <v>2.1706765615111516</v>
      </c>
      <c r="AI42" s="178">
        <f t="shared" si="69"/>
        <v>2.1706765615111516</v>
      </c>
      <c r="AJ42" s="178">
        <f t="shared" si="70"/>
        <v>2.2005011566749273</v>
      </c>
      <c r="AL42" s="560">
        <f t="shared" si="71"/>
        <v>296</v>
      </c>
      <c r="AM42" s="470">
        <f t="shared" si="72"/>
        <v>350</v>
      </c>
      <c r="AO42">
        <f t="shared" si="44"/>
        <v>296</v>
      </c>
      <c r="AP42" s="470">
        <f t="shared" si="24"/>
        <v>350</v>
      </c>
      <c r="AQ42" s="470"/>
      <c r="AR42" s="6">
        <f t="shared" si="45"/>
        <v>2.8571428571428572</v>
      </c>
      <c r="AS42" s="6">
        <f t="shared" si="25"/>
        <v>1.1255359948576342</v>
      </c>
      <c r="AT42" s="6">
        <f t="shared" si="46"/>
        <v>1.731606862285223</v>
      </c>
      <c r="AU42" s="178">
        <f t="shared" si="47"/>
        <v>0.39393759820017199</v>
      </c>
      <c r="AW42" s="6">
        <f>L*Iout^2/(2*Vripple1_spec*Vout*Npri_sec1^2)*1000000000*((1+N42)/(1-N42))^2</f>
        <v>12.324950464868163</v>
      </c>
      <c r="AX42" s="6">
        <f>L*F42^2/(2*Cout*Vout*Nps^2)*1000000000*((1+N42)/(1-N42))^2+F42*RCoutEsr</f>
        <v>5.1959635369543431</v>
      </c>
      <c r="AY42" s="6">
        <f>L*Iout2^2/(2*Vripple2_spec*Vout2*Npri_sec2^2)*1000000000*((1+N42)/(1-N42))^2</f>
        <v>4.8144337753391264</v>
      </c>
      <c r="AZ42" s="6">
        <f>L*G42^2/(2*Cout2*Vout2*Npri_sec2^2)*1000000000*((1+N42)/(1-N42))^2+G42*CoutEsr2</f>
        <v>2.2377982566227903</v>
      </c>
      <c r="BA42" s="6">
        <f>(H42+I42)/Efficiency/J42*AT42/Vinripple1</f>
        <v>1.1545545949445157</v>
      </c>
      <c r="BB42" s="470">
        <f>((BZ42/J42/Efficiency)*AT42/Cin+(BZ42/J42/Efficiency)*RCinEsr)*1000</f>
        <v>79.282610597351308</v>
      </c>
      <c r="BC42" s="6"/>
      <c r="BD42" s="178">
        <f t="shared" si="48"/>
        <v>0.78658961057140986</v>
      </c>
      <c r="BE42" s="178">
        <f t="shared" si="73"/>
        <v>0.97564800488653514</v>
      </c>
      <c r="BF42" s="178">
        <f t="shared" si="74"/>
        <v>0.60978000305408431</v>
      </c>
      <c r="BG42" s="178"/>
      <c r="BH42" s="543">
        <f t="shared" si="28"/>
        <v>6.8059553700477046E-2</v>
      </c>
      <c r="BI42" s="543">
        <f t="shared" si="29"/>
        <v>9.781611255309626E-2</v>
      </c>
      <c r="BJ42" s="543">
        <f t="shared" si="30"/>
        <v>1.7499999999999998E-2</v>
      </c>
      <c r="BK42" s="543">
        <f t="shared" si="31"/>
        <v>5.2216171874999995E-2</v>
      </c>
      <c r="BL42">
        <f t="shared" si="32"/>
        <v>3.9150000000000001E-3</v>
      </c>
      <c r="BM42" s="470">
        <f t="shared" si="49"/>
        <v>239.50683812857329</v>
      </c>
      <c r="BN42" s="178">
        <f t="shared" si="75"/>
        <v>0.11840000000000001</v>
      </c>
      <c r="BO42" s="178">
        <f t="shared" si="76"/>
        <v>7.3999999999999996E-2</v>
      </c>
      <c r="BP42" s="543"/>
      <c r="BR42" s="470">
        <f t="shared" si="50"/>
        <v>192.4</v>
      </c>
      <c r="BS42" s="543">
        <f t="shared" si="35"/>
        <v>2.4748928618355287E-2</v>
      </c>
      <c r="BT42" s="543">
        <f t="shared" si="51"/>
        <v>3.8075561177563062E-2</v>
      </c>
      <c r="BU42" s="543">
        <f t="shared" si="77"/>
        <v>1.1154949563739172E-2</v>
      </c>
      <c r="BV42" s="543">
        <f t="shared" si="37"/>
        <v>0</v>
      </c>
      <c r="BW42" s="648">
        <f t="shared" si="78"/>
        <v>6.1842857142857137E-2</v>
      </c>
      <c r="BX42" s="470">
        <f t="shared" si="52"/>
        <v>135.82229650251466</v>
      </c>
      <c r="BY42" s="178">
        <f t="shared" si="53"/>
        <v>0.56772913463108787</v>
      </c>
      <c r="BZ42" s="6">
        <f t="shared" si="54"/>
        <v>5.7719999999999994</v>
      </c>
      <c r="CA42" s="178">
        <f t="shared" si="55"/>
        <v>0.91044899197193796</v>
      </c>
      <c r="CB42" s="6">
        <f t="shared" si="56"/>
        <v>91.0448991971938</v>
      </c>
      <c r="CC42">
        <f t="shared" si="83"/>
        <v>36.999999999999993</v>
      </c>
      <c r="CE42" s="577">
        <f t="shared" si="79"/>
        <v>-50</v>
      </c>
      <c r="CF42">
        <f t="shared" si="80"/>
        <v>-50</v>
      </c>
    </row>
    <row r="43" spans="5:84" x14ac:dyDescent="0.2">
      <c r="E43" s="175">
        <v>38</v>
      </c>
      <c r="F43" s="222">
        <f t="shared" si="84"/>
        <v>0.30400000000000005</v>
      </c>
      <c r="G43" s="222">
        <f t="shared" si="81"/>
        <v>0.19</v>
      </c>
      <c r="H43" s="222">
        <f t="shared" si="60"/>
        <v>3.6480000000000006</v>
      </c>
      <c r="I43" s="222">
        <f t="shared" si="85"/>
        <v>2.2800000000000002</v>
      </c>
      <c r="J43" s="556">
        <f t="shared" si="1"/>
        <v>13.5</v>
      </c>
      <c r="K43" s="452">
        <f t="shared" si="2"/>
        <v>12.25</v>
      </c>
      <c r="L43" s="452">
        <f t="shared" si="3"/>
        <v>25.75</v>
      </c>
      <c r="M43" s="452"/>
      <c r="N43" s="222">
        <f t="shared" si="4"/>
        <v>0.47572815533980584</v>
      </c>
      <c r="O43" s="177">
        <f t="shared" si="82"/>
        <v>7.6969156086631818</v>
      </c>
      <c r="P43" s="177">
        <f t="shared" si="61"/>
        <v>7.8171799150485421</v>
      </c>
      <c r="Q43" s="222">
        <f t="shared" si="6"/>
        <v>0.64140963405526519</v>
      </c>
      <c r="R43" s="222">
        <f t="shared" si="62"/>
        <v>0.64140963405526519</v>
      </c>
      <c r="S43" s="452">
        <f t="shared" si="63"/>
        <v>12</v>
      </c>
      <c r="T43" s="222">
        <f t="shared" si="64"/>
        <v>1.9432199546485263</v>
      </c>
      <c r="U43" s="222">
        <f t="shared" si="10"/>
        <v>1.0075955320399765</v>
      </c>
      <c r="V43" s="222">
        <f t="shared" si="11"/>
        <v>1.1104114026563006</v>
      </c>
      <c r="W43" s="202">
        <f t="shared" si="12"/>
        <v>350</v>
      </c>
      <c r="X43" s="452">
        <f t="shared" si="43"/>
        <v>350</v>
      </c>
      <c r="Z43" s="222">
        <f t="shared" si="13"/>
        <v>2.6213592233009715</v>
      </c>
      <c r="AA43" s="178">
        <f t="shared" si="14"/>
        <v>1.4979195561719838</v>
      </c>
      <c r="AB43" s="178">
        <f t="shared" si="65"/>
        <v>0.68715241775850722</v>
      </c>
      <c r="AC43" s="178"/>
      <c r="AD43" s="178">
        <f t="shared" si="16"/>
        <v>0.46857142857142853</v>
      </c>
      <c r="AE43" s="560">
        <f t="shared" si="66"/>
        <v>1582.3914336704349</v>
      </c>
      <c r="AF43" s="543">
        <f t="shared" si="67"/>
        <v>6.723999999999998E-2</v>
      </c>
      <c r="AH43" s="178">
        <f t="shared" si="68"/>
        <v>2.1998144634194468</v>
      </c>
      <c r="AI43" s="178">
        <f t="shared" si="69"/>
        <v>2.1998144634194468</v>
      </c>
      <c r="AJ43" s="178">
        <f t="shared" si="70"/>
        <v>2.2220847877181087</v>
      </c>
      <c r="AL43" s="560">
        <f t="shared" si="71"/>
        <v>304.00000000000006</v>
      </c>
      <c r="AM43" s="470">
        <f t="shared" si="72"/>
        <v>350</v>
      </c>
      <c r="AO43">
        <f t="shared" si="44"/>
        <v>304.00000000000006</v>
      </c>
      <c r="AP43" s="470">
        <f t="shared" si="24"/>
        <v>350</v>
      </c>
      <c r="AQ43" s="470"/>
      <c r="AR43" s="6">
        <f t="shared" si="45"/>
        <v>2.8571428571428572</v>
      </c>
      <c r="AS43" s="6">
        <f t="shared" si="25"/>
        <v>1.140644536587861</v>
      </c>
      <c r="AT43" s="6">
        <f t="shared" si="46"/>
        <v>1.7164983205549962</v>
      </c>
      <c r="AU43" s="178">
        <f t="shared" si="47"/>
        <v>0.39922558780575135</v>
      </c>
      <c r="AW43" s="6">
        <f>L*Iout^2/(2*Vripple1_spec*Vout*Npri_sec1^2)*1000000000*((1+N43)/(1-N43))^2</f>
        <v>12.324950464868163</v>
      </c>
      <c r="AX43" s="6">
        <f>L*F43^2/(2*Cout*Vout*Nps^2)*1000000000*((1+N43)/(1-N43))^2+F43*RCoutEsr</f>
        <v>5.4559732267071395</v>
      </c>
      <c r="AY43" s="6">
        <f>L*Iout2^2/(2*Vripple2_spec*Vout2*Npri_sec2^2)*1000000000*((1+N43)/(1-N43))^2</f>
        <v>4.8144337753391264</v>
      </c>
      <c r="AZ43" s="6">
        <f>L*G43^2/(2*Cout2*Vout2*Npri_sec2^2)*1000000000*((1+N43)/(1-N43))^2+G43*CoutEsr2</f>
        <v>2.3449895416824758</v>
      </c>
      <c r="BA43" s="6">
        <f>(H43+I43)/Efficiency/J43*AT43/Vinripple1</f>
        <v>1.1754128417298413</v>
      </c>
      <c r="BB43" s="470">
        <f>((BZ43/J43/Efficiency)*AT43/Cin+(BZ43/J43/Efficiency)*RCinEsr)*1000</f>
        <v>80.727033483430958</v>
      </c>
      <c r="BC43" s="6"/>
      <c r="BD43" s="178">
        <f t="shared" si="48"/>
        <v>0.80248072594524278</v>
      </c>
      <c r="BE43" s="178">
        <f t="shared" si="73"/>
        <v>0.98442161139228967</v>
      </c>
      <c r="BF43" s="178">
        <f t="shared" si="74"/>
        <v>0.61526350712018096</v>
      </c>
      <c r="BG43" s="178"/>
      <c r="BH43" s="543">
        <f t="shared" si="28"/>
        <v>7.0837284706496431E-2</v>
      </c>
      <c r="BI43" s="543">
        <f t="shared" si="29"/>
        <v>9.9129139257838825E-2</v>
      </c>
      <c r="BJ43" s="543">
        <f t="shared" si="30"/>
        <v>1.7499999999999998E-2</v>
      </c>
      <c r="BK43" s="543">
        <f t="shared" si="31"/>
        <v>5.2216171874999995E-2</v>
      </c>
      <c r="BL43">
        <f t="shared" si="32"/>
        <v>3.9150000000000001E-3</v>
      </c>
      <c r="BM43" s="470">
        <f t="shared" si="49"/>
        <v>243.59759583933524</v>
      </c>
      <c r="BN43" s="178">
        <f t="shared" si="75"/>
        <v>0.12160000000000003</v>
      </c>
      <c r="BO43" s="178">
        <f t="shared" si="76"/>
        <v>7.6000000000000012E-2</v>
      </c>
      <c r="BP43" s="543"/>
      <c r="BR43" s="470">
        <f t="shared" si="50"/>
        <v>197.60000000000005</v>
      </c>
      <c r="BS43" s="543">
        <f t="shared" si="35"/>
        <v>2.5759012620544156E-2</v>
      </c>
      <c r="BT43" s="543">
        <f t="shared" si="51"/>
        <v>3.8763436359047686E-2</v>
      </c>
      <c r="BU43" s="543">
        <f t="shared" si="77"/>
        <v>1.1356475495814748E-2</v>
      </c>
      <c r="BV43" s="543">
        <f t="shared" si="37"/>
        <v>0</v>
      </c>
      <c r="BW43" s="648">
        <f t="shared" si="78"/>
        <v>6.3514285714285731E-2</v>
      </c>
      <c r="BX43" s="470">
        <f t="shared" si="52"/>
        <v>139.3932101896923</v>
      </c>
      <c r="BY43" s="178">
        <f t="shared" si="53"/>
        <v>0.58059080602902757</v>
      </c>
      <c r="BZ43" s="6">
        <f t="shared" si="54"/>
        <v>5.9280000000000008</v>
      </c>
      <c r="CA43" s="178">
        <f t="shared" si="55"/>
        <v>0.91079623480228389</v>
      </c>
      <c r="CB43" s="6">
        <f t="shared" si="56"/>
        <v>91.079623480228392</v>
      </c>
      <c r="CC43">
        <f t="shared" si="83"/>
        <v>38.000000000000007</v>
      </c>
      <c r="CE43" s="577">
        <f t="shared" si="79"/>
        <v>-50</v>
      </c>
      <c r="CF43">
        <f t="shared" si="80"/>
        <v>-50</v>
      </c>
    </row>
    <row r="44" spans="5:84" x14ac:dyDescent="0.2">
      <c r="E44" s="175">
        <v>39</v>
      </c>
      <c r="F44" s="222">
        <f t="shared" si="84"/>
        <v>0.31200000000000006</v>
      </c>
      <c r="G44" s="222">
        <f t="shared" si="81"/>
        <v>0.19500000000000001</v>
      </c>
      <c r="H44" s="222">
        <f t="shared" si="60"/>
        <v>3.7440000000000007</v>
      </c>
      <c r="I44" s="222">
        <f t="shared" si="85"/>
        <v>2.34</v>
      </c>
      <c r="J44" s="556">
        <f t="shared" si="1"/>
        <v>13.5</v>
      </c>
      <c r="K44" s="452">
        <f t="shared" si="2"/>
        <v>12.25</v>
      </c>
      <c r="L44" s="452">
        <f t="shared" si="3"/>
        <v>25.75</v>
      </c>
      <c r="M44" s="452"/>
      <c r="N44" s="222">
        <f t="shared" si="4"/>
        <v>0.47572815533980584</v>
      </c>
      <c r="O44" s="177">
        <f t="shared" si="82"/>
        <v>7.6969156086631818</v>
      </c>
      <c r="P44" s="177">
        <f t="shared" si="61"/>
        <v>7.8171799150485421</v>
      </c>
      <c r="Q44" s="222">
        <f t="shared" si="6"/>
        <v>0.64140963405526519</v>
      </c>
      <c r="R44" s="222">
        <f t="shared" si="62"/>
        <v>0.64140963405526519</v>
      </c>
      <c r="S44" s="452">
        <f t="shared" si="63"/>
        <v>12</v>
      </c>
      <c r="T44" s="222">
        <f t="shared" si="64"/>
        <v>1.994357321876119</v>
      </c>
      <c r="U44" s="222">
        <f t="shared" si="10"/>
        <v>1.0341112039357654</v>
      </c>
      <c r="V44" s="222">
        <f t="shared" si="11"/>
        <v>1.1396327553577823</v>
      </c>
      <c r="W44" s="202">
        <f t="shared" si="12"/>
        <v>350</v>
      </c>
      <c r="X44" s="452">
        <f t="shared" si="43"/>
        <v>350</v>
      </c>
      <c r="Z44" s="222">
        <f t="shared" si="13"/>
        <v>2.6213592233009715</v>
      </c>
      <c r="AA44" s="178">
        <f t="shared" si="14"/>
        <v>1.4979195561719838</v>
      </c>
      <c r="AB44" s="178">
        <f t="shared" si="65"/>
        <v>0.68715241775850722</v>
      </c>
      <c r="AC44" s="178"/>
      <c r="AD44" s="178">
        <f t="shared" si="16"/>
        <v>0.46857142857142853</v>
      </c>
      <c r="AE44" s="560">
        <f t="shared" si="66"/>
        <v>1624.0333135038672</v>
      </c>
      <c r="AF44" s="543">
        <f t="shared" si="67"/>
        <v>6.723999999999998E-2</v>
      </c>
      <c r="AH44" s="178">
        <f t="shared" si="68"/>
        <v>2.2285714285714286</v>
      </c>
      <c r="AI44" s="178">
        <f t="shared" si="69"/>
        <v>2.2285714285714286</v>
      </c>
      <c r="AJ44" s="178">
        <f t="shared" si="70"/>
        <v>2.2433862433862437</v>
      </c>
      <c r="AL44" s="560">
        <f t="shared" si="71"/>
        <v>312.00000000000006</v>
      </c>
      <c r="AM44" s="470">
        <f t="shared" si="72"/>
        <v>350</v>
      </c>
      <c r="AO44">
        <f t="shared" si="44"/>
        <v>312.00000000000006</v>
      </c>
      <c r="AP44" s="470">
        <f t="shared" si="24"/>
        <v>350</v>
      </c>
      <c r="AQ44" s="470"/>
      <c r="AR44" s="6">
        <f t="shared" si="45"/>
        <v>2.8571428571428572</v>
      </c>
      <c r="AS44" s="6">
        <f t="shared" si="25"/>
        <v>1.1555555555555557</v>
      </c>
      <c r="AT44" s="6">
        <f t="shared" si="46"/>
        <v>1.7015873015873015</v>
      </c>
      <c r="AU44" s="178">
        <f t="shared" si="47"/>
        <v>0.4044444444444445</v>
      </c>
      <c r="AW44" s="6">
        <f>L*Iout^2/(2*Vripple1_spec*Vout*Npri_sec1^2)*1000000000*((1+N44)/(1-N44))^2</f>
        <v>12.324950464868163</v>
      </c>
      <c r="AX44" s="6">
        <f>L*F44^2/(2*Cout*Vout*Nps^2)*1000000000*((1+N44)/(1-N44))^2+F44*RCoutEsr</f>
        <v>5.7222765081866758</v>
      </c>
      <c r="AY44" s="6">
        <f>L*Iout2^2/(2*Vripple2_spec*Vout2*Npri_sec2^2)*1000000000*((1+N44)/(1-N44))^2</f>
        <v>4.8144337753391264</v>
      </c>
      <c r="AZ44" s="6">
        <f>L*G44^2/(2*Cout2*Vout2*Npri_sec2^2)*1000000000*((1+N44)/(1-N44))^2+G44*CoutEsr2</f>
        <v>2.4546392610104197</v>
      </c>
      <c r="BA44" s="6">
        <f>(H44+I44)/Efficiency/J44*AT44/Vinripple1</f>
        <v>1.1958653836236683</v>
      </c>
      <c r="BB44" s="470">
        <f>((BZ44/J44/Efficiency)*AT44/Cin+(BZ44/J44/Efficiency)*RCinEsr)*1000</f>
        <v>82.144071289334462</v>
      </c>
      <c r="BC44" s="6"/>
      <c r="BD44" s="178">
        <f t="shared" si="48"/>
        <v>0.81826762416822096</v>
      </c>
      <c r="BE44" s="178">
        <f t="shared" si="73"/>
        <v>0.99294929342828375</v>
      </c>
      <c r="BF44" s="178">
        <f t="shared" si="74"/>
        <v>0.62059330839267723</v>
      </c>
      <c r="BG44" s="178"/>
      <c r="BH44" s="543">
        <f t="shared" si="28"/>
        <v>7.3651809523809536E-2</v>
      </c>
      <c r="BI44" s="543">
        <f t="shared" si="29"/>
        <v>0.100425</v>
      </c>
      <c r="BJ44" s="543">
        <f t="shared" si="30"/>
        <v>1.7499999999999998E-2</v>
      </c>
      <c r="BK44" s="543">
        <f t="shared" si="31"/>
        <v>5.2216171874999995E-2</v>
      </c>
      <c r="BL44">
        <f t="shared" si="32"/>
        <v>3.9150000000000001E-3</v>
      </c>
      <c r="BM44" s="470">
        <f t="shared" si="49"/>
        <v>247.70798139880952</v>
      </c>
      <c r="BN44" s="178">
        <f t="shared" si="75"/>
        <v>0.12480000000000002</v>
      </c>
      <c r="BO44" s="178">
        <f t="shared" si="76"/>
        <v>7.8000000000000014E-2</v>
      </c>
      <c r="BP44" s="543"/>
      <c r="BR44" s="470">
        <f t="shared" si="50"/>
        <v>202.80000000000004</v>
      </c>
      <c r="BS44" s="543">
        <f t="shared" si="35"/>
        <v>2.6782476190476197E-2</v>
      </c>
      <c r="BT44" s="543">
        <f t="shared" si="51"/>
        <v>3.9437931972789116E-2</v>
      </c>
      <c r="BU44" s="543">
        <f t="shared" si="77"/>
        <v>1.1554081632653057E-2</v>
      </c>
      <c r="BV44" s="543">
        <f t="shared" si="37"/>
        <v>0</v>
      </c>
      <c r="BW44" s="648">
        <f t="shared" si="78"/>
        <v>6.5185714285714291E-2</v>
      </c>
      <c r="BX44" s="470">
        <f t="shared" si="52"/>
        <v>142.96020408163267</v>
      </c>
      <c r="BY44" s="178">
        <f t="shared" si="53"/>
        <v>0.59346818548044222</v>
      </c>
      <c r="BZ44" s="6">
        <f t="shared" si="54"/>
        <v>6.0840000000000005</v>
      </c>
      <c r="CA44" s="178">
        <f t="shared" si="55"/>
        <v>0.91112377191539662</v>
      </c>
      <c r="CB44" s="6">
        <f t="shared" si="56"/>
        <v>91.112377191539665</v>
      </c>
      <c r="CC44">
        <f t="shared" si="83"/>
        <v>39.000000000000007</v>
      </c>
      <c r="CE44" s="577">
        <f t="shared" si="79"/>
        <v>-50</v>
      </c>
      <c r="CF44">
        <f t="shared" si="80"/>
        <v>-50</v>
      </c>
    </row>
    <row r="45" spans="5:84" x14ac:dyDescent="0.2">
      <c r="E45" s="175">
        <v>40</v>
      </c>
      <c r="F45" s="222">
        <f t="shared" si="84"/>
        <v>0.32000000000000006</v>
      </c>
      <c r="G45" s="222">
        <f t="shared" si="81"/>
        <v>0.2</v>
      </c>
      <c r="H45" s="222">
        <f t="shared" si="60"/>
        <v>3.8400000000000007</v>
      </c>
      <c r="I45" s="222">
        <f t="shared" si="85"/>
        <v>2.4000000000000004</v>
      </c>
      <c r="J45" s="556">
        <f t="shared" si="1"/>
        <v>13.5</v>
      </c>
      <c r="K45" s="452">
        <f t="shared" si="2"/>
        <v>12.25</v>
      </c>
      <c r="L45" s="452">
        <f t="shared" si="3"/>
        <v>25.75</v>
      </c>
      <c r="M45" s="452"/>
      <c r="N45" s="222">
        <f t="shared" si="4"/>
        <v>0.47572815533980584</v>
      </c>
      <c r="O45" s="177">
        <f t="shared" si="82"/>
        <v>7.6969156086631818</v>
      </c>
      <c r="P45" s="177">
        <f t="shared" si="61"/>
        <v>7.8171799150485421</v>
      </c>
      <c r="Q45" s="222">
        <f t="shared" si="6"/>
        <v>0.64140963405526519</v>
      </c>
      <c r="R45" s="222">
        <f t="shared" si="62"/>
        <v>0.64140963405526519</v>
      </c>
      <c r="S45" s="452">
        <f t="shared" si="63"/>
        <v>12</v>
      </c>
      <c r="T45" s="222">
        <f t="shared" si="64"/>
        <v>2.045494689103712</v>
      </c>
      <c r="U45" s="222">
        <f t="shared" si="10"/>
        <v>1.0606268758315542</v>
      </c>
      <c r="V45" s="222">
        <f t="shared" si="11"/>
        <v>1.1688541080592638</v>
      </c>
      <c r="W45" s="202">
        <f t="shared" si="12"/>
        <v>350</v>
      </c>
      <c r="X45" s="452">
        <f t="shared" si="43"/>
        <v>350</v>
      </c>
      <c r="Z45" s="222">
        <f t="shared" si="13"/>
        <v>2.6213592233009715</v>
      </c>
      <c r="AA45" s="178">
        <f t="shared" si="14"/>
        <v>1.4979195561719838</v>
      </c>
      <c r="AB45" s="178">
        <f t="shared" si="65"/>
        <v>0.68715241775850722</v>
      </c>
      <c r="AC45" s="178"/>
      <c r="AD45" s="178">
        <f t="shared" si="16"/>
        <v>0.46857142857142853</v>
      </c>
      <c r="AE45" s="560">
        <f t="shared" si="66"/>
        <v>1665.6751933372998</v>
      </c>
      <c r="AF45" s="543">
        <f t="shared" si="67"/>
        <v>6.723999999999998E-2</v>
      </c>
      <c r="AH45" s="178">
        <f t="shared" si="68"/>
        <v>2.2569620180721714</v>
      </c>
      <c r="AI45" s="178">
        <f t="shared" si="69"/>
        <v>2.2569620180721714</v>
      </c>
      <c r="AJ45" s="178">
        <f t="shared" si="70"/>
        <v>2.26441630968309</v>
      </c>
      <c r="AL45" s="560">
        <f t="shared" si="71"/>
        <v>320.00000000000006</v>
      </c>
      <c r="AM45" s="470">
        <f t="shared" si="72"/>
        <v>350</v>
      </c>
      <c r="AO45">
        <f t="shared" si="44"/>
        <v>320.00000000000006</v>
      </c>
      <c r="AP45" s="470">
        <f t="shared" si="24"/>
        <v>350</v>
      </c>
      <c r="AQ45" s="470"/>
      <c r="AR45" s="6">
        <f t="shared" si="45"/>
        <v>2.8571428571428572</v>
      </c>
      <c r="AS45" s="6">
        <f t="shared" si="25"/>
        <v>1.1702766019633482</v>
      </c>
      <c r="AT45" s="6">
        <f t="shared" si="46"/>
        <v>1.6868662551795091</v>
      </c>
      <c r="AU45" s="178">
        <f t="shared" si="47"/>
        <v>0.40959681068717185</v>
      </c>
      <c r="AW45" s="6">
        <f>L*Iout^2/(2*Vripple1_spec*Vout*Npri_sec1^2)*1000000000*((1+N45)/(1-N45))^2</f>
        <v>12.324950464868163</v>
      </c>
      <c r="AX45" s="6">
        <f>L*F45^2/(2*Cout*Vout*Nps^2)*1000000000*((1+N45)/(1-N45))^2+F45*RCoutEsr</f>
        <v>5.9948733813929529</v>
      </c>
      <c r="AY45" s="6">
        <f>L*Iout2^2/(2*Vripple2_spec*Vout2*Npri_sec2^2)*1000000000*((1+N45)/(1-N45))^2</f>
        <v>4.8144337753391264</v>
      </c>
      <c r="AZ45" s="6">
        <f>L*G45^2/(2*Cout2*Vout2*Npri_sec2^2)*1000000000*((1+N45)/(1-N45))^2+G45*CoutEsr2</f>
        <v>2.5667474146066223</v>
      </c>
      <c r="BA45" s="6">
        <f>(H45+I45)/Efficiency/J45*AT45/Vinripple1</f>
        <v>1.2159174566249529</v>
      </c>
      <c r="BB45" s="470">
        <f>((BZ45/J45/Efficiency)*AT45/Cin+(BZ45/J45/Efficiency)*RCinEsr)*1000</f>
        <v>83.534077444991354</v>
      </c>
      <c r="BC45" s="6"/>
      <c r="BD45" s="178">
        <f t="shared" si="48"/>
        <v>0.833953635587523</v>
      </c>
      <c r="BE45" s="178">
        <f t="shared" si="73"/>
        <v>1.0012394905135447</v>
      </c>
      <c r="BF45" s="178">
        <f t="shared" si="74"/>
        <v>0.62577468157096527</v>
      </c>
      <c r="BG45" s="178"/>
      <c r="BH45" s="543">
        <f t="shared" si="28"/>
        <v>7.6502653294061182E-2</v>
      </c>
      <c r="BI45" s="543">
        <f t="shared" si="29"/>
        <v>0.10170435093937723</v>
      </c>
      <c r="BJ45" s="543">
        <f t="shared" si="30"/>
        <v>1.7499999999999998E-2</v>
      </c>
      <c r="BK45" s="543">
        <f t="shared" si="31"/>
        <v>5.2216171874999995E-2</v>
      </c>
      <c r="BL45">
        <f t="shared" si="32"/>
        <v>3.9150000000000001E-3</v>
      </c>
      <c r="BM45" s="470">
        <f t="shared" si="49"/>
        <v>251.8381761084384</v>
      </c>
      <c r="BN45" s="178">
        <f t="shared" si="75"/>
        <v>0.12800000000000003</v>
      </c>
      <c r="BO45" s="178">
        <f t="shared" si="76"/>
        <v>8.0000000000000016E-2</v>
      </c>
      <c r="BP45" s="543"/>
      <c r="BR45" s="470">
        <f t="shared" si="50"/>
        <v>208.00000000000006</v>
      </c>
      <c r="BS45" s="543">
        <f t="shared" si="35"/>
        <v>2.7819146652385888E-2</v>
      </c>
      <c r="BT45" s="543">
        <f t="shared" si="51"/>
        <v>4.0099220694552899E-2</v>
      </c>
      <c r="BU45" s="543">
        <f t="shared" si="77"/>
        <v>1.174781856285729E-2</v>
      </c>
      <c r="BV45" s="543">
        <f t="shared" si="37"/>
        <v>0</v>
      </c>
      <c r="BW45" s="648">
        <f t="shared" si="78"/>
        <v>6.6857142857142879E-2</v>
      </c>
      <c r="BX45" s="470">
        <f t="shared" si="52"/>
        <v>146.52332876693896</v>
      </c>
      <c r="BY45" s="178">
        <f t="shared" si="53"/>
        <v>0.60636150487537732</v>
      </c>
      <c r="BZ45" s="6">
        <f t="shared" si="54"/>
        <v>6.2400000000000011</v>
      </c>
      <c r="CA45" s="178">
        <f t="shared" si="55"/>
        <v>0.91143302841318263</v>
      </c>
      <c r="CB45" s="6">
        <f t="shared" si="56"/>
        <v>91.14330284131826</v>
      </c>
      <c r="CC45">
        <f t="shared" si="83"/>
        <v>40.000000000000007</v>
      </c>
      <c r="CE45" s="577">
        <f t="shared" si="79"/>
        <v>-50</v>
      </c>
      <c r="CF45">
        <f t="shared" si="80"/>
        <v>-50</v>
      </c>
    </row>
    <row r="46" spans="5:84" x14ac:dyDescent="0.2">
      <c r="E46" s="175">
        <v>41</v>
      </c>
      <c r="F46" s="222">
        <f t="shared" si="84"/>
        <v>0.32800000000000001</v>
      </c>
      <c r="G46" s="222">
        <f t="shared" si="81"/>
        <v>0.20499999999999999</v>
      </c>
      <c r="H46" s="222">
        <f t="shared" si="60"/>
        <v>3.9359999999999999</v>
      </c>
      <c r="I46" s="222">
        <f t="shared" si="85"/>
        <v>2.46</v>
      </c>
      <c r="J46" s="556">
        <f t="shared" si="1"/>
        <v>13.5</v>
      </c>
      <c r="K46" s="452">
        <f t="shared" si="2"/>
        <v>12.25</v>
      </c>
      <c r="L46" s="452">
        <f t="shared" si="3"/>
        <v>25.75</v>
      </c>
      <c r="M46" s="452"/>
      <c r="N46" s="222">
        <f t="shared" si="4"/>
        <v>0.47572815533980584</v>
      </c>
      <c r="O46" s="177">
        <f t="shared" si="82"/>
        <v>7.6969156086631818</v>
      </c>
      <c r="P46" s="177">
        <f t="shared" si="61"/>
        <v>7.8171799150485421</v>
      </c>
      <c r="Q46" s="222">
        <f t="shared" si="6"/>
        <v>0.64140963405526519</v>
      </c>
      <c r="R46" s="222">
        <f t="shared" si="62"/>
        <v>0.64140963405526519</v>
      </c>
      <c r="S46" s="452">
        <f t="shared" si="63"/>
        <v>12</v>
      </c>
      <c r="T46" s="222">
        <f t="shared" si="64"/>
        <v>2.0966320563313046</v>
      </c>
      <c r="U46" s="222">
        <f t="shared" si="10"/>
        <v>1.0871425477273431</v>
      </c>
      <c r="V46" s="222">
        <f t="shared" si="11"/>
        <v>1.1980754607607453</v>
      </c>
      <c r="W46" s="202">
        <f t="shared" si="12"/>
        <v>350</v>
      </c>
      <c r="X46" s="452">
        <f t="shared" si="43"/>
        <v>350</v>
      </c>
      <c r="Z46" s="222">
        <f t="shared" si="13"/>
        <v>2.6213592233009715</v>
      </c>
      <c r="AA46" s="178">
        <f t="shared" si="14"/>
        <v>1.4979195561719838</v>
      </c>
      <c r="AB46" s="178">
        <f t="shared" si="65"/>
        <v>0.68715241775850722</v>
      </c>
      <c r="AC46" s="178"/>
      <c r="AD46" s="178">
        <f t="shared" si="16"/>
        <v>0.46857142857142853</v>
      </c>
      <c r="AE46" s="560">
        <f t="shared" si="66"/>
        <v>1707.3170731707321</v>
      </c>
      <c r="AF46" s="543">
        <f t="shared" si="67"/>
        <v>6.723999999999998E-2</v>
      </c>
      <c r="AH46" s="178">
        <f t="shared" si="68"/>
        <v>2.2849998883579663</v>
      </c>
      <c r="AI46" s="178">
        <f t="shared" si="69"/>
        <v>2.2849998883579663</v>
      </c>
      <c r="AJ46" s="178">
        <f t="shared" si="70"/>
        <v>2.2851851024873824</v>
      </c>
      <c r="AL46" s="560">
        <f t="shared" si="71"/>
        <v>328</v>
      </c>
      <c r="AM46" s="470">
        <f t="shared" si="72"/>
        <v>350</v>
      </c>
      <c r="AO46">
        <f t="shared" si="44"/>
        <v>328</v>
      </c>
      <c r="AP46" s="470">
        <f t="shared" si="24"/>
        <v>350</v>
      </c>
      <c r="AQ46" s="470"/>
      <c r="AR46" s="6">
        <f t="shared" si="45"/>
        <v>2.8571428571428572</v>
      </c>
      <c r="AS46" s="6">
        <f t="shared" si="25"/>
        <v>1.184814756926353</v>
      </c>
      <c r="AT46" s="6">
        <f t="shared" si="46"/>
        <v>1.6723281002165042</v>
      </c>
      <c r="AU46" s="178">
        <f t="shared" si="47"/>
        <v>0.41468516492422353</v>
      </c>
      <c r="AW46" s="6">
        <f>L*Iout^2/(2*Vripple1_spec*Vout*Npri_sec1^2)*1000000000*((1+N46)/(1-N46))^2</f>
        <v>12.324950464868163</v>
      </c>
      <c r="AX46" s="6">
        <f>L*F46^2/(2*Cout*Vout*Nps^2)*1000000000*((1+N46)/(1-N46))^2+F46*RCoutEsr</f>
        <v>6.2737638463259691</v>
      </c>
      <c r="AY46" s="6">
        <f>L*Iout2^2/(2*Vripple2_spec*Vout2*Npri_sec2^2)*1000000000*((1+N46)/(1-N46))^2</f>
        <v>4.8144337753391264</v>
      </c>
      <c r="AZ46" s="6">
        <f>L*G46^2/(2*Cout2*Vout2*Npri_sec2^2)*1000000000*((1+N46)/(1-N46))^2+G46*CoutEsr2</f>
        <v>2.6813140024710815</v>
      </c>
      <c r="BA46" s="6">
        <f>(H46+I46)/Efficiency/J46*AT46/Vinripple1</f>
        <v>1.2355740990813382</v>
      </c>
      <c r="BB46" s="470">
        <f>((BZ46/J46/Efficiency)*AT46/Cin+(BZ46/J46/Efficiency)*RCinEsr)*1000</f>
        <v>84.897392038867551</v>
      </c>
      <c r="BC46" s="6"/>
      <c r="BD46" s="178">
        <f t="shared" si="48"/>
        <v>0.8495419037452705</v>
      </c>
      <c r="BE46" s="178">
        <f t="shared" si="73"/>
        <v>1.0093001124770411</v>
      </c>
      <c r="BF46" s="178">
        <f t="shared" si="74"/>
        <v>0.63081257029815052</v>
      </c>
      <c r="BG46" s="178"/>
      <c r="BH46" s="543">
        <f t="shared" si="28"/>
        <v>7.9389359084105229E-2</v>
      </c>
      <c r="BI46" s="543">
        <f t="shared" si="29"/>
        <v>0.10296780746913087</v>
      </c>
      <c r="BJ46" s="543">
        <f t="shared" si="30"/>
        <v>1.7499999999999998E-2</v>
      </c>
      <c r="BK46" s="543">
        <f t="shared" si="31"/>
        <v>5.2216171874999995E-2</v>
      </c>
      <c r="BL46">
        <f t="shared" si="32"/>
        <v>3.9150000000000001E-3</v>
      </c>
      <c r="BM46" s="470">
        <f t="shared" si="49"/>
        <v>255.98833842823609</v>
      </c>
      <c r="BN46" s="178">
        <f t="shared" si="75"/>
        <v>0.13120000000000001</v>
      </c>
      <c r="BO46" s="178">
        <f t="shared" si="76"/>
        <v>8.2000000000000003E-2</v>
      </c>
      <c r="BP46" s="543"/>
      <c r="BR46" s="470">
        <f t="shared" si="50"/>
        <v>213.2</v>
      </c>
      <c r="BS46" s="543">
        <f t="shared" si="35"/>
        <v>2.8868857848765538E-2</v>
      </c>
      <c r="BT46" s="543">
        <f t="shared" si="51"/>
        <v>4.0747468681846713E-2</v>
      </c>
      <c r="BU46" s="543">
        <f t="shared" si="77"/>
        <v>1.1937734965384772E-2</v>
      </c>
      <c r="BV46" s="543">
        <f t="shared" si="37"/>
        <v>0</v>
      </c>
      <c r="BW46" s="648">
        <f t="shared" si="78"/>
        <v>6.8528571428571439E-2</v>
      </c>
      <c r="BX46" s="470">
        <f t="shared" si="52"/>
        <v>150.08263292456846</v>
      </c>
      <c r="BY46" s="178">
        <f t="shared" si="53"/>
        <v>0.61927097135280462</v>
      </c>
      <c r="BZ46" s="6">
        <f t="shared" si="54"/>
        <v>6.3959999999999999</v>
      </c>
      <c r="CA46" s="178">
        <f t="shared" si="55"/>
        <v>0.911725295589917</v>
      </c>
      <c r="CB46" s="6">
        <f t="shared" si="56"/>
        <v>91.172529558991698</v>
      </c>
      <c r="CC46">
        <f t="shared" si="83"/>
        <v>41</v>
      </c>
      <c r="CE46" s="577">
        <f t="shared" si="79"/>
        <v>-50</v>
      </c>
      <c r="CF46">
        <f t="shared" si="80"/>
        <v>-50</v>
      </c>
    </row>
    <row r="47" spans="5:84" x14ac:dyDescent="0.2">
      <c r="E47" s="175">
        <v>42</v>
      </c>
      <c r="F47" s="222">
        <f t="shared" si="84"/>
        <v>0.33600000000000002</v>
      </c>
      <c r="G47" s="222">
        <f t="shared" si="81"/>
        <v>0.21</v>
      </c>
      <c r="H47" s="222">
        <f t="shared" si="60"/>
        <v>4.032</v>
      </c>
      <c r="I47" s="222">
        <f t="shared" si="85"/>
        <v>2.52</v>
      </c>
      <c r="J47" s="556">
        <f t="shared" si="1"/>
        <v>13.5</v>
      </c>
      <c r="K47" s="452">
        <f t="shared" si="2"/>
        <v>12.25</v>
      </c>
      <c r="L47" s="452">
        <f t="shared" si="3"/>
        <v>25.75</v>
      </c>
      <c r="M47" s="452"/>
      <c r="N47" s="222">
        <f t="shared" si="4"/>
        <v>0.47572815533980584</v>
      </c>
      <c r="O47" s="177">
        <f t="shared" si="82"/>
        <v>7.6969156086631818</v>
      </c>
      <c r="P47" s="177">
        <f t="shared" si="61"/>
        <v>7.8171799150485421</v>
      </c>
      <c r="Q47" s="222">
        <f t="shared" si="6"/>
        <v>0.64140963405526519</v>
      </c>
      <c r="R47" s="222">
        <f t="shared" si="62"/>
        <v>0.64140963405526519</v>
      </c>
      <c r="S47" s="452">
        <f t="shared" si="63"/>
        <v>12</v>
      </c>
      <c r="T47" s="222">
        <f t="shared" si="64"/>
        <v>2.1477694235588971</v>
      </c>
      <c r="U47" s="222">
        <f t="shared" si="10"/>
        <v>1.1136582196231319</v>
      </c>
      <c r="V47" s="222">
        <f t="shared" si="11"/>
        <v>1.2272968134622271</v>
      </c>
      <c r="W47" s="202">
        <f t="shared" si="12"/>
        <v>350</v>
      </c>
      <c r="X47" s="452">
        <f t="shared" si="43"/>
        <v>350</v>
      </c>
      <c r="Z47" s="222">
        <f t="shared" si="13"/>
        <v>2.6213592233009715</v>
      </c>
      <c r="AA47" s="178">
        <f t="shared" si="14"/>
        <v>1.4979195561719838</v>
      </c>
      <c r="AB47" s="178">
        <f t="shared" si="65"/>
        <v>0.68715241775850722</v>
      </c>
      <c r="AC47" s="178"/>
      <c r="AD47" s="178">
        <f t="shared" si="16"/>
        <v>0.46857142857142853</v>
      </c>
      <c r="AE47" s="560">
        <f t="shared" si="66"/>
        <v>1748.9589530041646</v>
      </c>
      <c r="AF47" s="543">
        <f t="shared" si="67"/>
        <v>6.723999999999998E-2</v>
      </c>
      <c r="AH47" s="178">
        <f t="shared" si="68"/>
        <v>2.3126978679826355</v>
      </c>
      <c r="AI47" s="178">
        <f t="shared" si="69"/>
        <v>2.3126978679826355</v>
      </c>
      <c r="AJ47" s="178">
        <f t="shared" si="70"/>
        <v>2.3057021244315821</v>
      </c>
      <c r="AL47" s="560">
        <f t="shared" si="71"/>
        <v>336</v>
      </c>
      <c r="AM47" s="470">
        <f t="shared" si="72"/>
        <v>350</v>
      </c>
      <c r="AO47">
        <f t="shared" si="44"/>
        <v>336</v>
      </c>
      <c r="AP47" s="470">
        <f t="shared" si="24"/>
        <v>350</v>
      </c>
      <c r="AQ47" s="470"/>
      <c r="AR47" s="6">
        <f t="shared" si="45"/>
        <v>2.8571428571428572</v>
      </c>
      <c r="AS47" s="6">
        <f t="shared" si="25"/>
        <v>1.1991766722872923</v>
      </c>
      <c r="AT47" s="6">
        <f t="shared" si="46"/>
        <v>1.6579661848555649</v>
      </c>
      <c r="AU47" s="178">
        <f t="shared" si="47"/>
        <v>0.41971183530055228</v>
      </c>
      <c r="AW47" s="6">
        <f>L*Iout^2/(2*Vripple1_spec*Vout*Npri_sec1^2)*1000000000*((1+N47)/(1-N47))^2</f>
        <v>12.324950464868163</v>
      </c>
      <c r="AX47" s="6">
        <f>L*F47^2/(2*Cout*Vout*Nps^2)*1000000000*((1+N47)/(1-N47))^2+F47*RCoutEsr</f>
        <v>6.5589479029857287</v>
      </c>
      <c r="AY47" s="6">
        <f>L*Iout2^2/(2*Vripple2_spec*Vout2*Npri_sec2^2)*1000000000*((1+N47)/(1-N47))^2</f>
        <v>4.8144337753391264</v>
      </c>
      <c r="AZ47" s="6">
        <f>L*G47^2/(2*Cout2*Vout2*Npri_sec2^2)*1000000000*((1+N47)/(1-N47))^2+G47*CoutEsr2</f>
        <v>2.7983390246037994</v>
      </c>
      <c r="BA47" s="6">
        <f>(H47+I47)/Efficiency/J47*AT47/Vinripple1</f>
        <v>1.254840163820508</v>
      </c>
      <c r="BB47" s="470">
        <f>((BZ47/J47/Efficiency)*AT47/Cin+(BZ47/J47/Efficiency)*RCinEsr)*1000</f>
        <v>86.234342636831656</v>
      </c>
      <c r="BC47" s="6"/>
      <c r="BD47" s="178">
        <f t="shared" si="48"/>
        <v>0.86503540014687852</v>
      </c>
      <c r="BE47" s="178">
        <f t="shared" si="73"/>
        <v>1.0171385841417444</v>
      </c>
      <c r="BF47" s="178">
        <f t="shared" si="74"/>
        <v>0.63571161508859009</v>
      </c>
      <c r="BG47" s="178"/>
      <c r="BH47" s="543">
        <f t="shared" si="28"/>
        <v>8.2311486785799734E-2</v>
      </c>
      <c r="BI47" s="543">
        <f t="shared" si="29"/>
        <v>0.10421594767596752</v>
      </c>
      <c r="BJ47" s="543">
        <f t="shared" si="30"/>
        <v>1.7499999999999998E-2</v>
      </c>
      <c r="BK47" s="543">
        <f t="shared" si="31"/>
        <v>5.2216171874999995E-2</v>
      </c>
      <c r="BL47">
        <f t="shared" si="32"/>
        <v>3.9150000000000001E-3</v>
      </c>
      <c r="BM47" s="470">
        <f t="shared" si="49"/>
        <v>260.15860633676726</v>
      </c>
      <c r="BN47" s="178">
        <f t="shared" si="75"/>
        <v>0.13440000000000002</v>
      </c>
      <c r="BO47" s="178">
        <f t="shared" si="76"/>
        <v>8.4000000000000005E-2</v>
      </c>
      <c r="BP47" s="543"/>
      <c r="BR47" s="470">
        <f t="shared" si="50"/>
        <v>218.40000000000003</v>
      </c>
      <c r="BS47" s="543">
        <f t="shared" si="35"/>
        <v>2.993144974029081E-2</v>
      </c>
      <c r="BT47" s="543">
        <f t="shared" si="51"/>
        <v>4.1382835973994905E-2</v>
      </c>
      <c r="BU47" s="543">
        <f t="shared" si="77"/>
        <v>1.2123877726756311E-2</v>
      </c>
      <c r="BV47" s="543">
        <f t="shared" si="37"/>
        <v>0</v>
      </c>
      <c r="BW47" s="648">
        <f t="shared" si="78"/>
        <v>7.0199999999999999E-2</v>
      </c>
      <c r="BX47" s="470">
        <f t="shared" si="52"/>
        <v>153.63816344104202</v>
      </c>
      <c r="BY47" s="178">
        <f t="shared" si="53"/>
        <v>0.63219676977780936</v>
      </c>
      <c r="BZ47" s="6">
        <f t="shared" si="54"/>
        <v>6.5519999999999996</v>
      </c>
      <c r="CA47" s="178">
        <f t="shared" si="55"/>
        <v>0.91200174632781372</v>
      </c>
      <c r="CB47" s="6">
        <f t="shared" si="56"/>
        <v>91.200174632781369</v>
      </c>
      <c r="CC47">
        <f t="shared" si="83"/>
        <v>42</v>
      </c>
      <c r="CE47" s="577">
        <f t="shared" si="79"/>
        <v>-50</v>
      </c>
      <c r="CF47">
        <f t="shared" si="80"/>
        <v>-50</v>
      </c>
    </row>
    <row r="48" spans="5:84" x14ac:dyDescent="0.2">
      <c r="E48" s="175">
        <v>43</v>
      </c>
      <c r="F48" s="222">
        <f t="shared" si="84"/>
        <v>0.34400000000000003</v>
      </c>
      <c r="G48" s="222">
        <f t="shared" si="81"/>
        <v>0.215</v>
      </c>
      <c r="H48" s="222">
        <f t="shared" si="60"/>
        <v>4.1280000000000001</v>
      </c>
      <c r="I48" s="222">
        <f t="shared" si="85"/>
        <v>2.58</v>
      </c>
      <c r="J48" s="556">
        <f t="shared" si="1"/>
        <v>13.5</v>
      </c>
      <c r="K48" s="452">
        <f t="shared" si="2"/>
        <v>12.25</v>
      </c>
      <c r="L48" s="452">
        <f t="shared" si="3"/>
        <v>25.75</v>
      </c>
      <c r="M48" s="452"/>
      <c r="N48" s="222">
        <f t="shared" si="4"/>
        <v>0.47572815533980584</v>
      </c>
      <c r="O48" s="177">
        <f t="shared" si="82"/>
        <v>7.6969156086631818</v>
      </c>
      <c r="P48" s="177">
        <f t="shared" si="61"/>
        <v>7.8171799150485421</v>
      </c>
      <c r="Q48" s="222">
        <f t="shared" si="6"/>
        <v>0.64140963405526519</v>
      </c>
      <c r="R48" s="222">
        <f t="shared" si="62"/>
        <v>0.64140963405526519</v>
      </c>
      <c r="S48" s="452">
        <f t="shared" si="63"/>
        <v>12</v>
      </c>
      <c r="T48" s="222">
        <f t="shared" si="64"/>
        <v>2.1989067907864901</v>
      </c>
      <c r="U48" s="222">
        <f t="shared" si="10"/>
        <v>1.1401738915189208</v>
      </c>
      <c r="V48" s="222">
        <f t="shared" si="11"/>
        <v>1.2565181661637086</v>
      </c>
      <c r="W48" s="202">
        <f t="shared" si="12"/>
        <v>350</v>
      </c>
      <c r="X48" s="452">
        <f t="shared" si="43"/>
        <v>350</v>
      </c>
      <c r="Z48" s="222">
        <f t="shared" si="13"/>
        <v>2.6213592233009715</v>
      </c>
      <c r="AA48" s="178">
        <f t="shared" si="14"/>
        <v>1.4979195561719838</v>
      </c>
      <c r="AB48" s="178">
        <f t="shared" si="65"/>
        <v>0.68715241775850722</v>
      </c>
      <c r="AC48" s="178"/>
      <c r="AD48" s="178">
        <f t="shared" si="16"/>
        <v>0.46857142857142853</v>
      </c>
      <c r="AE48" s="560">
        <f t="shared" si="66"/>
        <v>1790.6008328375972</v>
      </c>
      <c r="AF48" s="543">
        <f t="shared" si="67"/>
        <v>6.723999999999998E-2</v>
      </c>
      <c r="AH48" s="178">
        <f t="shared" si="68"/>
        <v>2.3400680262220881</v>
      </c>
      <c r="AI48" s="178">
        <f t="shared" si="69"/>
        <v>2.3400680262220881</v>
      </c>
      <c r="AJ48" s="178">
        <f t="shared" si="70"/>
        <v>2.3259763157200655</v>
      </c>
      <c r="AL48" s="560">
        <f t="shared" si="71"/>
        <v>344</v>
      </c>
      <c r="AM48" s="470">
        <f t="shared" si="72"/>
        <v>350</v>
      </c>
      <c r="AO48">
        <f t="shared" si="44"/>
        <v>344</v>
      </c>
      <c r="AP48" s="470">
        <f t="shared" si="24"/>
        <v>350</v>
      </c>
      <c r="AQ48" s="470"/>
      <c r="AR48" s="6">
        <f t="shared" si="45"/>
        <v>2.8571428571428572</v>
      </c>
      <c r="AS48" s="6">
        <f t="shared" si="25"/>
        <v>1.2133686061892306</v>
      </c>
      <c r="AT48" s="6">
        <f t="shared" si="46"/>
        <v>1.6437742509536266</v>
      </c>
      <c r="AU48" s="178">
        <f t="shared" si="47"/>
        <v>0.42467901216623072</v>
      </c>
      <c r="AW48" s="6">
        <f>L*Iout^2/(2*Vripple1_spec*Vout*Npri_sec1^2)*1000000000*((1+N48)/(1-N48))^2</f>
        <v>12.324950464868163</v>
      </c>
      <c r="AX48" s="6">
        <f>L*F48^2/(2*Cout*Vout*Nps^2)*1000000000*((1+N48)/(1-N48))^2+F48*RCoutEsr</f>
        <v>6.8504255513722301</v>
      </c>
      <c r="AY48" s="6">
        <f>L*Iout2^2/(2*Vripple2_spec*Vout2*Npri_sec2^2)*1000000000*((1+N48)/(1-N48))^2</f>
        <v>4.8144337753391264</v>
      </c>
      <c r="AZ48" s="6">
        <f>L*G48^2/(2*Cout2*Vout2*Npri_sec2^2)*1000000000*((1+N48)/(1-N48))^2+G48*CoutEsr2</f>
        <v>2.9178224810047766</v>
      </c>
      <c r="BA48" s="6">
        <f>(H48+I48)/Efficiency/J48*AT48/Vinripple1</f>
        <v>1.2737203292639581</v>
      </c>
      <c r="BB48" s="470">
        <f>((BZ48/J48/Efficiency)*AT48/Cin+(BZ48/J48/Efficiency)*RCinEsr)*1000</f>
        <v>87.545245032334705</v>
      </c>
      <c r="BC48" s="6"/>
      <c r="BD48" s="178">
        <f t="shared" si="48"/>
        <v>0.88043693753874597</v>
      </c>
      <c r="BE48" s="178">
        <f t="shared" si="73"/>
        <v>1.0247618852525566</v>
      </c>
      <c r="BF48" s="178">
        <f t="shared" si="74"/>
        <v>0.64047617828284775</v>
      </c>
      <c r="BG48" s="178"/>
      <c r="BH48" s="543">
        <f t="shared" si="28"/>
        <v>8.526861210808663E-2</v>
      </c>
      <c r="BI48" s="543">
        <f t="shared" si="29"/>
        <v>0.10544931543163284</v>
      </c>
      <c r="BJ48" s="543">
        <f t="shared" si="30"/>
        <v>1.7499999999999998E-2</v>
      </c>
      <c r="BK48" s="543">
        <f t="shared" si="31"/>
        <v>5.2216171874999995E-2</v>
      </c>
      <c r="BL48">
        <f t="shared" si="32"/>
        <v>3.9150000000000001E-3</v>
      </c>
      <c r="BM48" s="470">
        <f t="shared" si="49"/>
        <v>264.34909941471943</v>
      </c>
      <c r="BN48" s="178">
        <f t="shared" si="75"/>
        <v>0.13760000000000003</v>
      </c>
      <c r="BO48" s="178">
        <f t="shared" si="76"/>
        <v>8.6000000000000007E-2</v>
      </c>
      <c r="BP48" s="543"/>
      <c r="BR48" s="470">
        <f t="shared" si="50"/>
        <v>223.60000000000002</v>
      </c>
      <c r="BS48" s="543">
        <f t="shared" si="35"/>
        <v>3.1006768039304227E-2</v>
      </c>
      <c r="BT48" s="543">
        <f t="shared" si="51"/>
        <v>4.200547685865496E-2</v>
      </c>
      <c r="BU48" s="543">
        <f t="shared" si="77"/>
        <v>1.2306292048434064E-2</v>
      </c>
      <c r="BV48" s="543">
        <f t="shared" si="37"/>
        <v>0</v>
      </c>
      <c r="BW48" s="648">
        <f t="shared" si="78"/>
        <v>7.18714285714286E-2</v>
      </c>
      <c r="BX48" s="470">
        <f t="shared" si="52"/>
        <v>157.18996551782183</v>
      </c>
      <c r="BY48" s="178">
        <f t="shared" si="53"/>
        <v>0.64513906493254125</v>
      </c>
      <c r="BZ48" s="6">
        <f t="shared" si="54"/>
        <v>6.7080000000000002</v>
      </c>
      <c r="CA48" s="178">
        <f t="shared" si="55"/>
        <v>0.91226344840814455</v>
      </c>
      <c r="CB48" s="6">
        <f t="shared" si="56"/>
        <v>91.226344840814448</v>
      </c>
      <c r="CC48">
        <f t="shared" si="83"/>
        <v>43</v>
      </c>
      <c r="CE48" s="577">
        <f t="shared" si="79"/>
        <v>-50</v>
      </c>
      <c r="CF48">
        <f t="shared" si="80"/>
        <v>-50</v>
      </c>
    </row>
    <row r="49" spans="5:84" x14ac:dyDescent="0.2">
      <c r="E49" s="175">
        <v>44</v>
      </c>
      <c r="F49" s="222">
        <f t="shared" si="84"/>
        <v>0.35200000000000004</v>
      </c>
      <c r="G49" s="222">
        <f t="shared" si="81"/>
        <v>0.22</v>
      </c>
      <c r="H49" s="222">
        <f t="shared" si="60"/>
        <v>4.2240000000000002</v>
      </c>
      <c r="I49" s="222">
        <f t="shared" si="85"/>
        <v>2.64</v>
      </c>
      <c r="J49" s="556">
        <f t="shared" si="1"/>
        <v>13.5</v>
      </c>
      <c r="K49" s="452">
        <f t="shared" si="2"/>
        <v>12.25</v>
      </c>
      <c r="L49" s="452">
        <f t="shared" si="3"/>
        <v>25.75</v>
      </c>
      <c r="M49" s="452"/>
      <c r="N49" s="222">
        <f t="shared" si="4"/>
        <v>0.47572815533980584</v>
      </c>
      <c r="O49" s="177">
        <f t="shared" si="82"/>
        <v>7.6969156086631818</v>
      </c>
      <c r="P49" s="177">
        <f t="shared" si="61"/>
        <v>7.8171799150485421</v>
      </c>
      <c r="Q49" s="222">
        <f t="shared" si="6"/>
        <v>0.64140963405526519</v>
      </c>
      <c r="R49" s="222">
        <f t="shared" si="62"/>
        <v>0.64140963405526519</v>
      </c>
      <c r="S49" s="452">
        <f t="shared" si="63"/>
        <v>12</v>
      </c>
      <c r="T49" s="222">
        <f t="shared" si="64"/>
        <v>2.2500441580140831</v>
      </c>
      <c r="U49" s="222">
        <f t="shared" si="10"/>
        <v>1.1666895634147096</v>
      </c>
      <c r="V49" s="222">
        <f t="shared" si="11"/>
        <v>1.2857395188651901</v>
      </c>
      <c r="W49" s="202">
        <f t="shared" si="12"/>
        <v>350</v>
      </c>
      <c r="X49" s="452">
        <f t="shared" si="43"/>
        <v>350</v>
      </c>
      <c r="Z49" s="222">
        <f t="shared" si="13"/>
        <v>2.6213592233009715</v>
      </c>
      <c r="AA49" s="178">
        <f t="shared" si="14"/>
        <v>1.4979195561719838</v>
      </c>
      <c r="AB49" s="178">
        <f t="shared" si="65"/>
        <v>0.68715241775850722</v>
      </c>
      <c r="AC49" s="178"/>
      <c r="AD49" s="178">
        <f t="shared" si="16"/>
        <v>0.46857142857142853</v>
      </c>
      <c r="AE49" s="560">
        <f t="shared" si="66"/>
        <v>1832.2427126710295</v>
      </c>
      <c r="AF49" s="543">
        <f t="shared" si="67"/>
        <v>6.723999999999998E-2</v>
      </c>
      <c r="AH49" s="178">
        <f t="shared" si="68"/>
        <v>2.3671217345380549</v>
      </c>
      <c r="AI49" s="178">
        <f t="shared" si="69"/>
        <v>2.3671217345380549</v>
      </c>
      <c r="AJ49" s="178">
        <f t="shared" si="70"/>
        <v>2.3460160996578185</v>
      </c>
      <c r="AL49" s="560">
        <f t="shared" si="71"/>
        <v>352.00000000000006</v>
      </c>
      <c r="AM49" s="470">
        <f t="shared" si="72"/>
        <v>350</v>
      </c>
      <c r="AO49">
        <f t="shared" si="44"/>
        <v>352.00000000000006</v>
      </c>
      <c r="AP49" s="470">
        <f t="shared" si="24"/>
        <v>350</v>
      </c>
      <c r="AQ49" s="470"/>
      <c r="AR49" s="6">
        <f t="shared" si="45"/>
        <v>2.8571428571428572</v>
      </c>
      <c r="AS49" s="6">
        <f t="shared" si="25"/>
        <v>1.227396454945658</v>
      </c>
      <c r="AT49" s="6">
        <f t="shared" si="46"/>
        <v>1.6297464021971992</v>
      </c>
      <c r="AU49" s="178">
        <f t="shared" si="47"/>
        <v>0.42958875923098028</v>
      </c>
      <c r="AW49" s="6">
        <f>L*Iout^2/(2*Vripple1_spec*Vout*Npri_sec1^2)*1000000000*((1+N49)/(1-N49))^2</f>
        <v>12.324950464868163</v>
      </c>
      <c r="AX49" s="6">
        <f>L*F49^2/(2*Cout*Vout*Nps^2)*1000000000*((1+N49)/(1-N49))^2+F49*RCoutEsr</f>
        <v>7.1481967914854723</v>
      </c>
      <c r="AY49" s="6">
        <f>L*Iout2^2/(2*Vripple2_spec*Vout2*Npri_sec2^2)*1000000000*((1+N49)/(1-N49))^2</f>
        <v>4.8144337753391264</v>
      </c>
      <c r="AZ49" s="6">
        <f>L*G49^2/(2*Cout2*Vout2*Npri_sec2^2)*1000000000*((1+N49)/(1-N49))^2+G49*CoutEsr2</f>
        <v>3.0397643716740124</v>
      </c>
      <c r="BA49" s="6">
        <f>(H49+I49)/Efficiency/J49*AT49/Vinripple1</f>
        <v>1.2922191096303894</v>
      </c>
      <c r="BB49" s="470">
        <f>((BZ49/J49/Efficiency)*AT49/Cin+(BZ49/J49/Efficiency)*RCinEsr)*1000</f>
        <v>88.830403935139003</v>
      </c>
      <c r="BC49" s="6"/>
      <c r="BD49" s="178">
        <f t="shared" si="48"/>
        <v>0.89574918187685071</v>
      </c>
      <c r="BE49" s="178">
        <f t="shared" si="73"/>
        <v>1.0321765862524537</v>
      </c>
      <c r="BF49" s="178">
        <f t="shared" si="74"/>
        <v>0.64511036640778341</v>
      </c>
      <c r="BG49" s="178"/>
      <c r="BH49" s="543">
        <f t="shared" si="28"/>
        <v>8.8260325651635205E-2</v>
      </c>
      <c r="BI49" s="543">
        <f t="shared" si="29"/>
        <v>0.1066684231626211</v>
      </c>
      <c r="BJ49" s="543">
        <f t="shared" si="30"/>
        <v>1.7499999999999998E-2</v>
      </c>
      <c r="BK49" s="543">
        <f t="shared" si="31"/>
        <v>5.2216171874999995E-2</v>
      </c>
      <c r="BL49">
        <f t="shared" si="32"/>
        <v>3.9150000000000001E-3</v>
      </c>
      <c r="BM49" s="470">
        <f t="shared" si="49"/>
        <v>268.55992068925627</v>
      </c>
      <c r="BN49" s="178">
        <f t="shared" si="75"/>
        <v>0.14080000000000001</v>
      </c>
      <c r="BO49" s="178">
        <f t="shared" si="76"/>
        <v>8.8000000000000009E-2</v>
      </c>
      <c r="BP49" s="543"/>
      <c r="BR49" s="470">
        <f t="shared" si="50"/>
        <v>228.8</v>
      </c>
      <c r="BS49" s="543">
        <f t="shared" si="35"/>
        <v>3.2094663873321896E-2</v>
      </c>
      <c r="BT49" s="543">
        <f t="shared" si="51"/>
        <v>4.2615540208310758E-2</v>
      </c>
      <c r="BU49" s="543">
        <f t="shared" si="77"/>
        <v>1.2485021545403535E-2</v>
      </c>
      <c r="BV49" s="543">
        <f t="shared" si="37"/>
        <v>0</v>
      </c>
      <c r="BW49" s="648">
        <f t="shared" si="78"/>
        <v>7.354285714285716E-2</v>
      </c>
      <c r="BX49" s="470">
        <f t="shared" si="52"/>
        <v>160.73808276989334</v>
      </c>
      <c r="BY49" s="178">
        <f t="shared" si="53"/>
        <v>0.65809800345914959</v>
      </c>
      <c r="BZ49" s="6">
        <f t="shared" si="54"/>
        <v>6.8640000000000008</v>
      </c>
      <c r="CA49" s="178">
        <f t="shared" si="55"/>
        <v>0.91251137606070631</v>
      </c>
      <c r="CB49" s="6">
        <f t="shared" si="56"/>
        <v>91.251137606070628</v>
      </c>
      <c r="CC49">
        <f t="shared" si="83"/>
        <v>44</v>
      </c>
      <c r="CE49" s="577">
        <f t="shared" si="79"/>
        <v>-50</v>
      </c>
      <c r="CF49">
        <f t="shared" si="80"/>
        <v>-50</v>
      </c>
    </row>
    <row r="50" spans="5:84" x14ac:dyDescent="0.2">
      <c r="E50" s="175">
        <v>45</v>
      </c>
      <c r="F50" s="222">
        <f t="shared" si="84"/>
        <v>0.36000000000000004</v>
      </c>
      <c r="G50" s="222">
        <f t="shared" si="81"/>
        <v>0.22500000000000001</v>
      </c>
      <c r="H50" s="222">
        <f t="shared" si="60"/>
        <v>4.32</v>
      </c>
      <c r="I50" s="222">
        <f t="shared" si="85"/>
        <v>2.7</v>
      </c>
      <c r="J50" s="556">
        <f t="shared" si="1"/>
        <v>13.5</v>
      </c>
      <c r="K50" s="452">
        <f t="shared" si="2"/>
        <v>12.25</v>
      </c>
      <c r="L50" s="452">
        <f t="shared" si="3"/>
        <v>25.75</v>
      </c>
      <c r="M50" s="452"/>
      <c r="N50" s="222">
        <f t="shared" si="4"/>
        <v>0.47572815533980584</v>
      </c>
      <c r="O50" s="177">
        <f t="shared" si="82"/>
        <v>7.6969156086631818</v>
      </c>
      <c r="P50" s="177">
        <f t="shared" si="61"/>
        <v>7.8171799150485421</v>
      </c>
      <c r="Q50" s="222">
        <f t="shared" si="6"/>
        <v>0.64140963405526519</v>
      </c>
      <c r="R50" s="222">
        <f t="shared" si="62"/>
        <v>0.64140963405526519</v>
      </c>
      <c r="S50" s="452">
        <f t="shared" si="63"/>
        <v>12</v>
      </c>
      <c r="T50" s="222">
        <f t="shared" si="64"/>
        <v>2.3011815252416756</v>
      </c>
      <c r="U50" s="222">
        <f t="shared" si="10"/>
        <v>1.1932052353104985</v>
      </c>
      <c r="V50" s="222">
        <f t="shared" si="11"/>
        <v>1.3149608715666719</v>
      </c>
      <c r="W50" s="202">
        <f t="shared" si="12"/>
        <v>350</v>
      </c>
      <c r="X50" s="452">
        <f t="shared" si="43"/>
        <v>350</v>
      </c>
      <c r="Z50" s="222">
        <f t="shared" si="13"/>
        <v>2.6213592233009715</v>
      </c>
      <c r="AA50" s="178">
        <f t="shared" si="14"/>
        <v>1.4979195561719838</v>
      </c>
      <c r="AB50" s="178">
        <f t="shared" si="65"/>
        <v>0.68715241775850722</v>
      </c>
      <c r="AC50" s="178"/>
      <c r="AD50" s="178">
        <f t="shared" si="16"/>
        <v>0.46857142857142853</v>
      </c>
      <c r="AE50" s="560">
        <f t="shared" si="66"/>
        <v>1873.884592504462</v>
      </c>
      <c r="AF50" s="543">
        <f t="shared" si="67"/>
        <v>6.723999999999998E-2</v>
      </c>
      <c r="AH50" s="178">
        <f t="shared" si="68"/>
        <v>2.3938697217889615</v>
      </c>
      <c r="AI50" s="178">
        <f t="shared" si="69"/>
        <v>2.3938697217889615</v>
      </c>
      <c r="AJ50" s="178">
        <f t="shared" si="70"/>
        <v>2.3658294235473791</v>
      </c>
      <c r="AL50" s="560">
        <f t="shared" si="71"/>
        <v>360.00000000000006</v>
      </c>
      <c r="AM50" s="470">
        <f t="shared" si="72"/>
        <v>350</v>
      </c>
      <c r="AO50">
        <f t="shared" si="44"/>
        <v>360.00000000000006</v>
      </c>
      <c r="AP50" s="470">
        <f t="shared" si="24"/>
        <v>350</v>
      </c>
      <c r="AQ50" s="470"/>
      <c r="AR50" s="6">
        <f t="shared" si="45"/>
        <v>2.8571428571428572</v>
      </c>
      <c r="AS50" s="6">
        <f t="shared" si="25"/>
        <v>1.2412657816683503</v>
      </c>
      <c r="AT50" s="6">
        <f t="shared" si="46"/>
        <v>1.6158770754745069</v>
      </c>
      <c r="AU50" s="178">
        <f t="shared" si="47"/>
        <v>0.43444302358392262</v>
      </c>
      <c r="AW50" s="6">
        <f>L*Iout^2/(2*Vripple1_spec*Vout*Npri_sec1^2)*1000000000*((1+N50)/(1-N50))^2</f>
        <v>12.324950464868163</v>
      </c>
      <c r="AX50" s="6">
        <f>L*F50^2/(2*Cout*Vout*Nps^2)*1000000000*((1+N50)/(1-N50))^2+F50*RCoutEsr</f>
        <v>7.4522616233254553</v>
      </c>
      <c r="AY50" s="6">
        <f>L*Iout2^2/(2*Vripple2_spec*Vout2*Npri_sec2^2)*1000000000*((1+N50)/(1-N50))^2</f>
        <v>4.8144337753391264</v>
      </c>
      <c r="AZ50" s="6">
        <f>L*G50^2/(2*Cout2*Vout2*Npri_sec2^2)*1000000000*((1+N50)/(1-N50))^2+G50*CoutEsr2</f>
        <v>3.1641646966115049</v>
      </c>
      <c r="BA50" s="6">
        <f>(H50+I50)/Efficiency/J50*AT50/Vinripple1</f>
        <v>1.310340864322407</v>
      </c>
      <c r="BB50" s="470">
        <f>((BZ50/J50/Efficiency)*AT50/Cin+(BZ50/J50/Efficiency)*RCinEsr)*1000</f>
        <v>90.090113604920376</v>
      </c>
      <c r="BC50" s="6"/>
      <c r="BD50" s="178">
        <f t="shared" si="48"/>
        <v>0.91097466314208764</v>
      </c>
      <c r="BE50" s="178">
        <f t="shared" si="73"/>
        <v>1.03938888042244</v>
      </c>
      <c r="BF50" s="178">
        <f t="shared" si="74"/>
        <v>0.64961805026402486</v>
      </c>
      <c r="BG50" s="178"/>
      <c r="BH50" s="543">
        <f t="shared" si="28"/>
        <v>9.1286232057552402E-2</v>
      </c>
      <c r="BI50" s="543">
        <f t="shared" si="29"/>
        <v>0.10787375433811508</v>
      </c>
      <c r="BJ50" s="543">
        <f t="shared" si="30"/>
        <v>1.7499999999999998E-2</v>
      </c>
      <c r="BK50" s="543">
        <f t="shared" si="31"/>
        <v>5.2216171874999995E-2</v>
      </c>
      <c r="BL50">
        <f t="shared" si="32"/>
        <v>3.9150000000000001E-3</v>
      </c>
      <c r="BM50" s="470">
        <f t="shared" si="49"/>
        <v>272.79115827066744</v>
      </c>
      <c r="BN50" s="178">
        <f t="shared" si="75"/>
        <v>0.14400000000000002</v>
      </c>
      <c r="BO50" s="178">
        <f t="shared" si="76"/>
        <v>9.0000000000000011E-2</v>
      </c>
      <c r="BP50" s="543"/>
      <c r="BR50" s="470">
        <f t="shared" si="50"/>
        <v>234.00000000000003</v>
      </c>
      <c r="BS50" s="543">
        <f t="shared" si="35"/>
        <v>3.3194993475473604E-2</v>
      </c>
      <c r="BT50" s="543">
        <f t="shared" si="51"/>
        <v>4.3213169789832528E-2</v>
      </c>
      <c r="BU50" s="543">
        <f t="shared" si="77"/>
        <v>1.2660108336864992E-2</v>
      </c>
      <c r="BV50" s="543">
        <f t="shared" si="37"/>
        <v>0</v>
      </c>
      <c r="BW50" s="648">
        <f t="shared" si="78"/>
        <v>7.5214285714285747E-2</v>
      </c>
      <c r="BX50" s="470">
        <f t="shared" si="52"/>
        <v>164.28255731645689</v>
      </c>
      <c r="BY50" s="178">
        <f t="shared" si="53"/>
        <v>0.67107371558712448</v>
      </c>
      <c r="BZ50" s="6">
        <f t="shared" si="54"/>
        <v>7.0200000000000005</v>
      </c>
      <c r="CA50" s="178">
        <f t="shared" si="55"/>
        <v>0.91274642001843098</v>
      </c>
      <c r="CB50" s="6">
        <f t="shared" si="56"/>
        <v>91.274642001843091</v>
      </c>
      <c r="CC50">
        <f t="shared" si="83"/>
        <v>45</v>
      </c>
      <c r="CE50" s="577">
        <f t="shared" si="79"/>
        <v>-50</v>
      </c>
      <c r="CF50">
        <f t="shared" si="80"/>
        <v>-50</v>
      </c>
    </row>
    <row r="51" spans="5:84" x14ac:dyDescent="0.2">
      <c r="E51" s="175">
        <v>46</v>
      </c>
      <c r="F51" s="222">
        <f t="shared" si="84"/>
        <v>0.36800000000000005</v>
      </c>
      <c r="G51" s="222">
        <f t="shared" si="81"/>
        <v>0.23</v>
      </c>
      <c r="H51" s="222">
        <f t="shared" si="60"/>
        <v>4.4160000000000004</v>
      </c>
      <c r="I51" s="222">
        <f t="shared" si="85"/>
        <v>2.7600000000000002</v>
      </c>
      <c r="J51" s="556">
        <f t="shared" si="1"/>
        <v>13.5</v>
      </c>
      <c r="K51" s="452">
        <f t="shared" si="2"/>
        <v>12.25</v>
      </c>
      <c r="L51" s="452">
        <f t="shared" si="3"/>
        <v>25.75</v>
      </c>
      <c r="M51" s="452"/>
      <c r="N51" s="222">
        <f t="shared" si="4"/>
        <v>0.47572815533980584</v>
      </c>
      <c r="O51" s="177">
        <f t="shared" si="82"/>
        <v>7.6969156086631818</v>
      </c>
      <c r="P51" s="177">
        <f t="shared" si="61"/>
        <v>7.8171799150485421</v>
      </c>
      <c r="Q51" s="222">
        <f t="shared" si="6"/>
        <v>0.64140963405526519</v>
      </c>
      <c r="R51" s="222">
        <f t="shared" si="62"/>
        <v>0.64140963405526519</v>
      </c>
      <c r="S51" s="452">
        <f t="shared" si="63"/>
        <v>12</v>
      </c>
      <c r="T51" s="222">
        <f t="shared" si="64"/>
        <v>2.3523188924692686</v>
      </c>
      <c r="U51" s="222">
        <f t="shared" si="10"/>
        <v>1.2197209072062876</v>
      </c>
      <c r="V51" s="222">
        <f t="shared" si="11"/>
        <v>1.3441822242681536</v>
      </c>
      <c r="W51" s="202">
        <f t="shared" si="12"/>
        <v>350</v>
      </c>
      <c r="X51" s="452">
        <f t="shared" si="43"/>
        <v>350</v>
      </c>
      <c r="Z51" s="222">
        <f t="shared" si="13"/>
        <v>2.6213592233009715</v>
      </c>
      <c r="AA51" s="178">
        <f t="shared" si="14"/>
        <v>1.4979195561719838</v>
      </c>
      <c r="AB51" s="178">
        <f t="shared" si="65"/>
        <v>0.68715241775850722</v>
      </c>
      <c r="AC51" s="178"/>
      <c r="AD51" s="178">
        <f t="shared" si="16"/>
        <v>0.46857142857142853</v>
      </c>
      <c r="AE51" s="560">
        <f t="shared" si="66"/>
        <v>1915.5264723378946</v>
      </c>
      <c r="AF51" s="543">
        <f t="shared" si="67"/>
        <v>6.723999999999998E-2</v>
      </c>
      <c r="AH51" s="178">
        <f t="shared" si="68"/>
        <v>2.4203221239482708</v>
      </c>
      <c r="AI51" s="178">
        <f t="shared" si="69"/>
        <v>2.4203221239482708</v>
      </c>
      <c r="AJ51" s="178">
        <f t="shared" si="70"/>
        <v>2.3854237955172377</v>
      </c>
      <c r="AL51" s="560">
        <f t="shared" si="71"/>
        <v>368.00000000000006</v>
      </c>
      <c r="AM51" s="470">
        <f t="shared" si="72"/>
        <v>350</v>
      </c>
      <c r="AO51">
        <f t="shared" si="44"/>
        <v>368.00000000000006</v>
      </c>
      <c r="AP51" s="470">
        <f t="shared" si="24"/>
        <v>350</v>
      </c>
      <c r="AQ51" s="470"/>
      <c r="AR51" s="6">
        <f t="shared" si="45"/>
        <v>2.8571428571428572</v>
      </c>
      <c r="AS51" s="6">
        <f t="shared" si="25"/>
        <v>1.2549818420472514</v>
      </c>
      <c r="AT51" s="6">
        <f t="shared" si="46"/>
        <v>1.6021610150956058</v>
      </c>
      <c r="AU51" s="178">
        <f t="shared" si="47"/>
        <v>0.43924364471653798</v>
      </c>
      <c r="AW51" s="6">
        <f>L*Iout^2/(2*Vripple1_spec*Vout*Npri_sec1^2)*1000000000*((1+N51)/(1-N51))^2</f>
        <v>12.324950464868163</v>
      </c>
      <c r="AX51" s="6">
        <f>L*F51^2/(2*Cout*Vout*Nps^2)*1000000000*((1+N51)/(1-N51))^2+F51*RCoutEsr</f>
        <v>7.7626200468921791</v>
      </c>
      <c r="AY51" s="6">
        <f>L*Iout2^2/(2*Vripple2_spec*Vout2*Npri_sec2^2)*1000000000*((1+N51)/(1-N51))^2</f>
        <v>4.8144337753391264</v>
      </c>
      <c r="AZ51" s="6">
        <f>L*G51^2/(2*Cout2*Vout2*Npri_sec2^2)*1000000000*((1+N51)/(1-N51))^2+G51*CoutEsr2</f>
        <v>3.2910234558172569</v>
      </c>
      <c r="BA51" s="6">
        <f>(H51+I51)/Efficiency/J51*AT51/Vinripple1</f>
        <v>1.3280898065787097</v>
      </c>
      <c r="BB51" s="470">
        <f>((BZ51/J51/Efficiency)*AT51/Cin+(BZ51/J51/Efficiency)*RCinEsr)*1000</f>
        <v>91.324658435290985</v>
      </c>
      <c r="BC51" s="6"/>
      <c r="BD51" s="178">
        <f t="shared" si="48"/>
        <v>0.92611578513658321</v>
      </c>
      <c r="BE51" s="178">
        <f t="shared" si="73"/>
        <v>1.0464046128268643</v>
      </c>
      <c r="BF51" s="178">
        <f t="shared" si="74"/>
        <v>0.65400288301678999</v>
      </c>
      <c r="BG51" s="178"/>
      <c r="BH51" s="543">
        <f t="shared" si="28"/>
        <v>9.4345949222706504E-2</v>
      </c>
      <c r="BI51" s="543">
        <f t="shared" si="29"/>
        <v>0.10906576571041897</v>
      </c>
      <c r="BJ51" s="543">
        <f t="shared" si="30"/>
        <v>1.7499999999999998E-2</v>
      </c>
      <c r="BK51" s="543">
        <f t="shared" si="31"/>
        <v>5.2216171874999995E-2</v>
      </c>
      <c r="BL51">
        <f t="shared" si="32"/>
        <v>3.9150000000000001E-3</v>
      </c>
      <c r="BM51" s="470">
        <f t="shared" si="49"/>
        <v>277.0428868081255</v>
      </c>
      <c r="BN51" s="178">
        <f t="shared" si="75"/>
        <v>0.14720000000000003</v>
      </c>
      <c r="BO51" s="178">
        <f t="shared" si="76"/>
        <v>9.2000000000000012E-2</v>
      </c>
      <c r="BP51" s="543"/>
      <c r="BR51" s="470">
        <f t="shared" si="50"/>
        <v>239.20000000000002</v>
      </c>
      <c r="BS51" s="543">
        <f t="shared" si="35"/>
        <v>3.4307617899166004E-2</v>
      </c>
      <c r="BT51" s="543">
        <f t="shared" si="51"/>
        <v>4.3798504549813586E-2</v>
      </c>
      <c r="BU51" s="543">
        <f t="shared" si="77"/>
        <v>1.2831593129828192E-2</v>
      </c>
      <c r="BV51" s="543">
        <f t="shared" si="37"/>
        <v>0</v>
      </c>
      <c r="BW51" s="648">
        <f t="shared" si="78"/>
        <v>7.6885714285714279E-2</v>
      </c>
      <c r="BX51" s="470">
        <f t="shared" si="52"/>
        <v>167.82342986452207</v>
      </c>
      <c r="BY51" s="178">
        <f t="shared" si="53"/>
        <v>0.6840663166726475</v>
      </c>
      <c r="BZ51" s="6">
        <f t="shared" si="54"/>
        <v>7.1760000000000002</v>
      </c>
      <c r="CA51" s="178">
        <f t="shared" si="55"/>
        <v>0.91296939629865248</v>
      </c>
      <c r="CB51" s="6">
        <f t="shared" si="56"/>
        <v>91.29693962986525</v>
      </c>
      <c r="CC51">
        <f t="shared" si="83"/>
        <v>46</v>
      </c>
      <c r="CE51" s="577">
        <f t="shared" si="79"/>
        <v>-50</v>
      </c>
      <c r="CF51">
        <f t="shared" si="80"/>
        <v>-50</v>
      </c>
    </row>
    <row r="52" spans="5:84" x14ac:dyDescent="0.2">
      <c r="E52" s="175">
        <v>47</v>
      </c>
      <c r="F52" s="222">
        <f t="shared" si="84"/>
        <v>0.376</v>
      </c>
      <c r="G52" s="222">
        <f t="shared" si="81"/>
        <v>0.23499999999999999</v>
      </c>
      <c r="H52" s="222">
        <f t="shared" si="60"/>
        <v>4.5120000000000005</v>
      </c>
      <c r="I52" s="222">
        <f t="shared" si="85"/>
        <v>2.82</v>
      </c>
      <c r="J52" s="556">
        <f t="shared" si="1"/>
        <v>13.5</v>
      </c>
      <c r="K52" s="452">
        <f t="shared" si="2"/>
        <v>12.25</v>
      </c>
      <c r="L52" s="452">
        <f t="shared" si="3"/>
        <v>25.75</v>
      </c>
      <c r="M52" s="452"/>
      <c r="N52" s="222">
        <f t="shared" si="4"/>
        <v>0.47572815533980584</v>
      </c>
      <c r="O52" s="177">
        <f t="shared" si="82"/>
        <v>7.6969156086631818</v>
      </c>
      <c r="P52" s="177">
        <f t="shared" si="61"/>
        <v>7.8171799150485421</v>
      </c>
      <c r="Q52" s="222">
        <f t="shared" si="6"/>
        <v>0.64140963405526519</v>
      </c>
      <c r="R52" s="222">
        <f t="shared" si="62"/>
        <v>0.64140963405526519</v>
      </c>
      <c r="S52" s="452">
        <f t="shared" si="63"/>
        <v>12</v>
      </c>
      <c r="T52" s="222">
        <f t="shared" si="64"/>
        <v>2.4034562596968616</v>
      </c>
      <c r="U52" s="222">
        <f t="shared" si="10"/>
        <v>1.2462365791020764</v>
      </c>
      <c r="V52" s="222">
        <f t="shared" si="11"/>
        <v>1.3734035769696351</v>
      </c>
      <c r="W52" s="202">
        <f t="shared" si="12"/>
        <v>350</v>
      </c>
      <c r="X52" s="452">
        <f t="shared" si="43"/>
        <v>350</v>
      </c>
      <c r="Z52" s="222">
        <f t="shared" si="13"/>
        <v>2.6213592233009715</v>
      </c>
      <c r="AA52" s="178">
        <f t="shared" si="14"/>
        <v>1.4979195561719838</v>
      </c>
      <c r="AB52" s="178">
        <f t="shared" si="65"/>
        <v>0.68715241775850722</v>
      </c>
      <c r="AC52" s="178"/>
      <c r="AD52" s="178">
        <f t="shared" si="16"/>
        <v>0.46857142857142853</v>
      </c>
      <c r="AE52" s="560">
        <f t="shared" si="66"/>
        <v>1957.1683521713269</v>
      </c>
      <c r="AF52" s="543">
        <f t="shared" si="67"/>
        <v>6.723999999999998E-2</v>
      </c>
      <c r="AH52" s="178">
        <f t="shared" si="68"/>
        <v>2.446488528983731</v>
      </c>
      <c r="AI52" s="178">
        <f t="shared" si="69"/>
        <v>2.446488528983731</v>
      </c>
      <c r="AJ52" s="178">
        <f t="shared" si="70"/>
        <v>2.4048063177657268</v>
      </c>
      <c r="AL52" s="560">
        <f t="shared" si="71"/>
        <v>376</v>
      </c>
      <c r="AM52" s="470">
        <f t="shared" si="72"/>
        <v>350</v>
      </c>
      <c r="AO52">
        <f t="shared" si="44"/>
        <v>376</v>
      </c>
      <c r="AP52" s="470">
        <f t="shared" si="24"/>
        <v>350</v>
      </c>
      <c r="AQ52" s="470"/>
      <c r="AR52" s="6">
        <f t="shared" si="45"/>
        <v>2.8571428571428572</v>
      </c>
      <c r="AS52" s="6">
        <f t="shared" si="25"/>
        <v>1.2685496076211937</v>
      </c>
      <c r="AT52" s="6">
        <f t="shared" si="46"/>
        <v>1.5885932495216635</v>
      </c>
      <c r="AU52" s="178">
        <f t="shared" si="47"/>
        <v>0.44399236266741782</v>
      </c>
      <c r="AW52" s="6">
        <f>L*Iout^2/(2*Vripple1_spec*Vout*Npri_sec1^2)*1000000000*((1+N52)/(1-N52))^2</f>
        <v>12.324950464868163</v>
      </c>
      <c r="AX52" s="6">
        <f>L*F52^2/(2*Cout*Vout*Nps^2)*1000000000*((1+N52)/(1-N52))^2+F52*RCoutEsr</f>
        <v>8.0792720621856446</v>
      </c>
      <c r="AY52" s="6">
        <f>L*Iout2^2/(2*Vripple2_spec*Vout2*Npri_sec2^2)*1000000000*((1+N52)/(1-N52))^2</f>
        <v>4.8144337753391264</v>
      </c>
      <c r="AZ52" s="6">
        <f>L*G52^2/(2*Cout2*Vout2*Npri_sec2^2)*1000000000*((1+N52)/(1-N52))^2+G52*CoutEsr2</f>
        <v>3.4203406492912665</v>
      </c>
      <c r="BA52" s="6">
        <f>(H52+I52)/Efficiency/J52*AT52/Vinripple1</f>
        <v>1.3454700114640488</v>
      </c>
      <c r="BB52" s="470">
        <f>((BZ52/J52/Efficiency)*AT52/Cin+(BZ52/J52/Efficiency)*RCinEsr)*1000</f>
        <v>92.534313493121559</v>
      </c>
      <c r="BC52" s="6"/>
      <c r="BD52" s="178">
        <f t="shared" si="48"/>
        <v>0.94117483437702887</v>
      </c>
      <c r="BE52" s="178">
        <f t="shared" si="73"/>
        <v>1.0532293064436153</v>
      </c>
      <c r="BF52" s="178">
        <f t="shared" si="74"/>
        <v>0.65826831652725948</v>
      </c>
      <c r="BG52" s="178"/>
      <c r="BH52" s="543">
        <f t="shared" si="28"/>
        <v>9.7439107575109055E-2</v>
      </c>
      <c r="BI52" s="543">
        <f t="shared" si="29"/>
        <v>0.11024488933732939</v>
      </c>
      <c r="BJ52" s="543">
        <f t="shared" si="30"/>
        <v>1.7499999999999998E-2</v>
      </c>
      <c r="BK52" s="543">
        <f t="shared" si="31"/>
        <v>5.2216171874999995E-2</v>
      </c>
      <c r="BL52">
        <f t="shared" si="32"/>
        <v>3.9150000000000001E-3</v>
      </c>
      <c r="BM52" s="470">
        <f t="shared" si="49"/>
        <v>281.31516878743844</v>
      </c>
      <c r="BN52" s="178">
        <f t="shared" si="75"/>
        <v>0.15040000000000001</v>
      </c>
      <c r="BO52" s="178">
        <f t="shared" si="76"/>
        <v>9.4E-2</v>
      </c>
      <c r="BP52" s="543"/>
      <c r="BR52" s="470">
        <f t="shared" si="50"/>
        <v>244.4</v>
      </c>
      <c r="BS52" s="543">
        <f t="shared" si="35"/>
        <v>3.5432402754585111E-2</v>
      </c>
      <c r="BT52" s="543">
        <f t="shared" si="51"/>
        <v>4.4371678878067956E-2</v>
      </c>
      <c r="BU52" s="543">
        <f t="shared" si="77"/>
        <v>1.2999515296308968E-2</v>
      </c>
      <c r="BV52" s="543">
        <f t="shared" si="37"/>
        <v>0</v>
      </c>
      <c r="BW52" s="648">
        <f t="shared" si="78"/>
        <v>7.8557142857142881E-2</v>
      </c>
      <c r="BX52" s="470">
        <f t="shared" si="52"/>
        <v>171.36073978610492</v>
      </c>
      <c r="BY52" s="178">
        <f t="shared" si="53"/>
        <v>0.69707590857354329</v>
      </c>
      <c r="BZ52" s="6">
        <f t="shared" si="54"/>
        <v>7.3320000000000007</v>
      </c>
      <c r="CA52" s="178">
        <f t="shared" si="55"/>
        <v>0.91318105389572946</v>
      </c>
      <c r="CB52" s="6">
        <f t="shared" si="56"/>
        <v>91.318105389572949</v>
      </c>
      <c r="CC52">
        <f t="shared" si="83"/>
        <v>47</v>
      </c>
      <c r="CE52" s="577">
        <f t="shared" si="79"/>
        <v>-50</v>
      </c>
      <c r="CF52">
        <f t="shared" si="80"/>
        <v>-50</v>
      </c>
    </row>
    <row r="53" spans="5:84" x14ac:dyDescent="0.2">
      <c r="E53" s="175">
        <v>48</v>
      </c>
      <c r="F53" s="222">
        <f t="shared" si="84"/>
        <v>0.38400000000000001</v>
      </c>
      <c r="G53" s="222">
        <f t="shared" si="81"/>
        <v>0.24</v>
      </c>
      <c r="H53" s="222">
        <f t="shared" si="60"/>
        <v>4.6080000000000005</v>
      </c>
      <c r="I53" s="222">
        <f t="shared" si="85"/>
        <v>2.88</v>
      </c>
      <c r="J53" s="556">
        <f t="shared" si="1"/>
        <v>13.5</v>
      </c>
      <c r="K53" s="452">
        <f t="shared" si="2"/>
        <v>12.25</v>
      </c>
      <c r="L53" s="452">
        <f t="shared" si="3"/>
        <v>25.75</v>
      </c>
      <c r="M53" s="452"/>
      <c r="N53" s="222">
        <f t="shared" si="4"/>
        <v>0.47572815533980584</v>
      </c>
      <c r="O53" s="177">
        <f t="shared" si="82"/>
        <v>7.6969156086631818</v>
      </c>
      <c r="P53" s="177">
        <f t="shared" si="61"/>
        <v>7.8171799150485421</v>
      </c>
      <c r="Q53" s="222">
        <f t="shared" si="6"/>
        <v>0.64140963405526519</v>
      </c>
      <c r="R53" s="222">
        <f t="shared" si="62"/>
        <v>0.64140963405526519</v>
      </c>
      <c r="S53" s="452">
        <f t="shared" si="63"/>
        <v>12</v>
      </c>
      <c r="T53" s="222">
        <f t="shared" si="64"/>
        <v>2.4545936269244542</v>
      </c>
      <c r="U53" s="222">
        <f t="shared" si="10"/>
        <v>1.272752250997865</v>
      </c>
      <c r="V53" s="222">
        <f t="shared" si="11"/>
        <v>1.4026249296711166</v>
      </c>
      <c r="W53" s="202">
        <f t="shared" si="12"/>
        <v>350</v>
      </c>
      <c r="X53" s="452">
        <f t="shared" si="43"/>
        <v>350</v>
      </c>
      <c r="Z53" s="222">
        <f t="shared" si="13"/>
        <v>2.6213592233009715</v>
      </c>
      <c r="AA53" s="178">
        <f t="shared" si="14"/>
        <v>1.4979195561719838</v>
      </c>
      <c r="AB53" s="178">
        <f t="shared" si="65"/>
        <v>0.68715241775850722</v>
      </c>
      <c r="AC53" s="178"/>
      <c r="AD53" s="178">
        <f t="shared" si="16"/>
        <v>0.46857142857142853</v>
      </c>
      <c r="AE53" s="560">
        <f t="shared" si="66"/>
        <v>1998.8102320047597</v>
      </c>
      <c r="AF53" s="543">
        <f t="shared" si="67"/>
        <v>6.723999999999998E-2</v>
      </c>
      <c r="AH53" s="178">
        <f t="shared" si="68"/>
        <v>2.472378017461021</v>
      </c>
      <c r="AI53" s="178">
        <f t="shared" si="69"/>
        <v>2.472378017461021</v>
      </c>
      <c r="AJ53" s="178">
        <f t="shared" si="70"/>
        <v>2.4239837166377933</v>
      </c>
      <c r="AL53" s="560">
        <f t="shared" si="71"/>
        <v>384</v>
      </c>
      <c r="AM53" s="470">
        <f t="shared" si="72"/>
        <v>350</v>
      </c>
      <c r="AO53">
        <f t="shared" si="44"/>
        <v>384</v>
      </c>
      <c r="AP53" s="470">
        <f t="shared" si="24"/>
        <v>350</v>
      </c>
      <c r="AQ53" s="470"/>
      <c r="AR53" s="6">
        <f t="shared" si="45"/>
        <v>2.8571428571428572</v>
      </c>
      <c r="AS53" s="6">
        <f t="shared" si="25"/>
        <v>1.2819737868316403</v>
      </c>
      <c r="AT53" s="6">
        <f t="shared" si="46"/>
        <v>1.5751690703112169</v>
      </c>
      <c r="AU53" s="178">
        <f t="shared" si="47"/>
        <v>0.44869082539107408</v>
      </c>
      <c r="AW53" s="6">
        <f>L*Iout^2/(2*Vripple1_spec*Vout*Npri_sec1^2)*1000000000*((1+N53)/(1-N53))^2</f>
        <v>12.324950464868163</v>
      </c>
      <c r="AX53" s="6">
        <f>L*F53^2/(2*Cout*Vout*Nps^2)*1000000000*((1+N53)/(1-N53))^2+F53*RCoutEsr</f>
        <v>8.4022176692058501</v>
      </c>
      <c r="AY53" s="6">
        <f>L*Iout2^2/(2*Vripple2_spec*Vout2*Npri_sec2^2)*1000000000*((1+N53)/(1-N53))^2</f>
        <v>4.8144337753391264</v>
      </c>
      <c r="AZ53" s="6">
        <f>L*G53^2/(2*Cout2*Vout2*Npri_sec2^2)*1000000000*((1+N53)/(1-N53))^2+G53*CoutEsr2</f>
        <v>3.5521162770335346</v>
      </c>
      <c r="BA53" s="6">
        <f>(H53+I53)/Efficiency/J53*AT53/Vinripple1</f>
        <v>1.3624854232607486</v>
      </c>
      <c r="BB53" s="470">
        <f>((BZ53/J53/Efficiency)*AT53/Cin+(BZ53/J53/Efficiency)*RCinEsr)*1000</f>
        <v>93.719345017468981</v>
      </c>
      <c r="BC53" s="6"/>
      <c r="BD53" s="178">
        <f t="shared" si="48"/>
        <v>0.95615398818567066</v>
      </c>
      <c r="BE53" s="178">
        <f t="shared" si="73"/>
        <v>1.0598681858065178</v>
      </c>
      <c r="BF53" s="178">
        <f t="shared" si="74"/>
        <v>0.66241761612907346</v>
      </c>
      <c r="BG53" s="178"/>
      <c r="BH53" s="543">
        <f t="shared" si="28"/>
        <v>0.10056534940357</v>
      </c>
      <c r="BI53" s="543">
        <f t="shared" si="29"/>
        <v>0.11141153441183725</v>
      </c>
      <c r="BJ53" s="543">
        <f t="shared" si="30"/>
        <v>1.7499999999999998E-2</v>
      </c>
      <c r="BK53" s="543">
        <f t="shared" si="31"/>
        <v>5.2216171874999995E-2</v>
      </c>
      <c r="BL53">
        <f t="shared" si="32"/>
        <v>3.9150000000000001E-3</v>
      </c>
      <c r="BM53" s="470">
        <f t="shared" si="49"/>
        <v>285.60805569040724</v>
      </c>
      <c r="BN53" s="178">
        <f t="shared" si="75"/>
        <v>0.15360000000000001</v>
      </c>
      <c r="BO53" s="178">
        <f t="shared" si="76"/>
        <v>9.6000000000000002E-2</v>
      </c>
      <c r="BP53" s="543"/>
      <c r="BR53" s="470">
        <f t="shared" si="50"/>
        <v>249.60000000000002</v>
      </c>
      <c r="BS53" s="543">
        <f t="shared" si="35"/>
        <v>3.6569217964934543E-2</v>
      </c>
      <c r="BT53" s="543">
        <f t="shared" si="51"/>
        <v>4.4932822851391975E-2</v>
      </c>
      <c r="BU53" s="543">
        <f t="shared" si="77"/>
        <v>1.3163912944743734E-2</v>
      </c>
      <c r="BV53" s="543">
        <f t="shared" si="37"/>
        <v>0</v>
      </c>
      <c r="BW53" s="648">
        <f t="shared" si="78"/>
        <v>8.0228571428571413E-2</v>
      </c>
      <c r="BX53" s="470">
        <f t="shared" si="52"/>
        <v>174.89452518964166</v>
      </c>
      <c r="BY53" s="178">
        <f t="shared" si="53"/>
        <v>0.71010258088004896</v>
      </c>
      <c r="BZ53" s="6">
        <f t="shared" si="54"/>
        <v>7.4880000000000004</v>
      </c>
      <c r="CA53" s="178">
        <f t="shared" si="55"/>
        <v>0.91338208153967482</v>
      </c>
      <c r="CB53" s="6">
        <f t="shared" si="56"/>
        <v>91.338208153967486</v>
      </c>
      <c r="CC53">
        <f t="shared" si="83"/>
        <v>48</v>
      </c>
      <c r="CE53" s="577">
        <f t="shared" si="79"/>
        <v>-50</v>
      </c>
      <c r="CF53">
        <f t="shared" si="80"/>
        <v>-50</v>
      </c>
    </row>
    <row r="54" spans="5:84" x14ac:dyDescent="0.2">
      <c r="E54" s="175">
        <v>49</v>
      </c>
      <c r="F54" s="222">
        <f t="shared" si="84"/>
        <v>0.39200000000000002</v>
      </c>
      <c r="G54" s="222">
        <f t="shared" si="81"/>
        <v>0.245</v>
      </c>
      <c r="H54" s="222">
        <f t="shared" si="60"/>
        <v>4.7040000000000006</v>
      </c>
      <c r="I54" s="222">
        <f t="shared" si="85"/>
        <v>2.94</v>
      </c>
      <c r="J54" s="556">
        <f t="shared" si="1"/>
        <v>13.5</v>
      </c>
      <c r="K54" s="452">
        <f t="shared" si="2"/>
        <v>12.25</v>
      </c>
      <c r="L54" s="452">
        <f t="shared" si="3"/>
        <v>25.75</v>
      </c>
      <c r="M54" s="452"/>
      <c r="N54" s="222">
        <f t="shared" si="4"/>
        <v>0.47572815533980584</v>
      </c>
      <c r="O54" s="177">
        <f t="shared" si="82"/>
        <v>7.6969156086631818</v>
      </c>
      <c r="P54" s="177">
        <f t="shared" si="61"/>
        <v>7.8171799150485421</v>
      </c>
      <c r="Q54" s="222">
        <f t="shared" si="6"/>
        <v>0.64140963405526519</v>
      </c>
      <c r="R54" s="222">
        <f t="shared" si="62"/>
        <v>0.64140963405526519</v>
      </c>
      <c r="S54" s="452">
        <f t="shared" si="63"/>
        <v>12</v>
      </c>
      <c r="T54" s="222">
        <f t="shared" si="64"/>
        <v>2.5057309941520467</v>
      </c>
      <c r="U54" s="222">
        <f t="shared" si="10"/>
        <v>1.2992679228936537</v>
      </c>
      <c r="V54" s="222">
        <f t="shared" si="11"/>
        <v>1.4318462823725981</v>
      </c>
      <c r="W54" s="202">
        <f t="shared" si="12"/>
        <v>350</v>
      </c>
      <c r="X54" s="452">
        <f t="shared" si="43"/>
        <v>350</v>
      </c>
      <c r="Z54" s="222">
        <f t="shared" si="13"/>
        <v>2.6213592233009715</v>
      </c>
      <c r="AA54" s="178">
        <f t="shared" si="14"/>
        <v>1.4979195561719838</v>
      </c>
      <c r="AB54" s="178">
        <f t="shared" si="65"/>
        <v>0.68715241775850722</v>
      </c>
      <c r="AC54" s="178"/>
      <c r="AD54" s="178">
        <f t="shared" si="16"/>
        <v>0.46857142857142853</v>
      </c>
      <c r="AE54" s="560">
        <f t="shared" si="66"/>
        <v>2040.452111838192</v>
      </c>
      <c r="AF54" s="543">
        <f t="shared" si="67"/>
        <v>6.723999999999998E-2</v>
      </c>
      <c r="AH54" s="178">
        <f t="shared" si="68"/>
        <v>2.4979991993593593</v>
      </c>
      <c r="AI54" s="178">
        <f t="shared" si="69"/>
        <v>2.4979991993593593</v>
      </c>
      <c r="AJ54" s="178">
        <f t="shared" si="70"/>
        <v>2.4429623698958221</v>
      </c>
      <c r="AL54" s="560">
        <f t="shared" si="71"/>
        <v>392</v>
      </c>
      <c r="AM54" s="470">
        <f t="shared" si="72"/>
        <v>350</v>
      </c>
      <c r="AO54">
        <f t="shared" si="44"/>
        <v>392</v>
      </c>
      <c r="AP54" s="470">
        <f t="shared" si="24"/>
        <v>350</v>
      </c>
      <c r="AQ54" s="470"/>
      <c r="AR54" s="6">
        <f t="shared" si="45"/>
        <v>2.8571428571428572</v>
      </c>
      <c r="AS54" s="6">
        <f t="shared" si="25"/>
        <v>1.2952588441122603</v>
      </c>
      <c r="AT54" s="6">
        <f t="shared" si="46"/>
        <v>1.5618840130305969</v>
      </c>
      <c r="AU54" s="178">
        <f t="shared" si="47"/>
        <v>0.45334059543929112</v>
      </c>
      <c r="AW54" s="6">
        <f>L*Iout^2/(2*Vripple1_spec*Vout*Npri_sec1^2)*1000000000*((1+N54)/(1-N54))^2</f>
        <v>12.324950464868163</v>
      </c>
      <c r="AX54" s="6">
        <f>L*F54^2/(2*Cout*Vout*Nps^2)*1000000000*((1+N54)/(1-N54))^2+F54*RCoutEsr</f>
        <v>8.7314568679527991</v>
      </c>
      <c r="AY54" s="6">
        <f>L*Iout2^2/(2*Vripple2_spec*Vout2*Npri_sec2^2)*1000000000*((1+N54)/(1-N54))^2</f>
        <v>4.8144337753391264</v>
      </c>
      <c r="AZ54" s="6">
        <f>L*G54^2/(2*Cout2*Vout2*Npri_sec2^2)*1000000000*((1+N54)/(1-N54))^2+G54*CoutEsr2</f>
        <v>3.6863503390440608</v>
      </c>
      <c r="BA54" s="6">
        <f>(H54+I54)/Efficiency/J54*AT54/Vinripple1</f>
        <v>1.3791398623182018</v>
      </c>
      <c r="BB54" s="470">
        <f>((BZ54/J54/Efficiency)*AT54/Cin+(BZ54/J54/Efficiency)*RCinEsr)*1000</f>
        <v>94.880010881917201</v>
      </c>
      <c r="BC54" s="6"/>
      <c r="BD54" s="178">
        <f t="shared" si="48"/>
        <v>0.97105532206652656</v>
      </c>
      <c r="BE54" s="178">
        <f t="shared" si="73"/>
        <v>1.0663261984431756</v>
      </c>
      <c r="BF54" s="178">
        <f t="shared" si="74"/>
        <v>0.66645387402698464</v>
      </c>
      <c r="BG54" s="178"/>
      <c r="BH54" s="543">
        <f t="shared" si="28"/>
        <v>0.10372432823650983</v>
      </c>
      <c r="BI54" s="543">
        <f t="shared" si="29"/>
        <v>0.11256608892113112</v>
      </c>
      <c r="BJ54" s="543">
        <f t="shared" si="30"/>
        <v>1.7499999999999998E-2</v>
      </c>
      <c r="BK54" s="543">
        <f t="shared" si="31"/>
        <v>5.2216171874999995E-2</v>
      </c>
      <c r="BL54">
        <f t="shared" si="32"/>
        <v>3.9150000000000001E-3</v>
      </c>
      <c r="BM54" s="470">
        <f t="shared" si="49"/>
        <v>289.92158903264101</v>
      </c>
      <c r="BN54" s="178">
        <f t="shared" si="75"/>
        <v>0.15680000000000002</v>
      </c>
      <c r="BO54" s="178">
        <f t="shared" si="76"/>
        <v>9.8000000000000004E-2</v>
      </c>
      <c r="BP54" s="543"/>
      <c r="BR54" s="470">
        <f t="shared" si="50"/>
        <v>254.80000000000004</v>
      </c>
      <c r="BS54" s="543">
        <f t="shared" si="35"/>
        <v>3.7717937540549029E-2</v>
      </c>
      <c r="BT54" s="543">
        <f t="shared" si="51"/>
        <v>4.5482062459450988E-2</v>
      </c>
      <c r="BU54" s="543">
        <f t="shared" si="77"/>
        <v>1.3324822986167278E-2</v>
      </c>
      <c r="BV54" s="543">
        <f t="shared" si="37"/>
        <v>0</v>
      </c>
      <c r="BW54" s="648">
        <f t="shared" si="78"/>
        <v>8.1900000000000014E-2</v>
      </c>
      <c r="BX54" s="470">
        <f t="shared" si="52"/>
        <v>178.4248229861673</v>
      </c>
      <c r="BY54" s="178">
        <f t="shared" si="53"/>
        <v>0.72314641201880836</v>
      </c>
      <c r="BZ54" s="6">
        <f t="shared" si="54"/>
        <v>7.6440000000000001</v>
      </c>
      <c r="CA54" s="178">
        <f t="shared" si="55"/>
        <v>0.91357311365078298</v>
      </c>
      <c r="CB54" s="6">
        <f t="shared" si="56"/>
        <v>91.357311365078303</v>
      </c>
      <c r="CC54">
        <f t="shared" si="83"/>
        <v>49</v>
      </c>
      <c r="CE54" s="577">
        <f t="shared" si="79"/>
        <v>-50</v>
      </c>
      <c r="CF54">
        <f t="shared" si="80"/>
        <v>-50</v>
      </c>
    </row>
    <row r="55" spans="5:84" x14ac:dyDescent="0.2">
      <c r="E55" s="175">
        <v>50</v>
      </c>
      <c r="F55" s="222">
        <f t="shared" si="84"/>
        <v>0.4</v>
      </c>
      <c r="G55" s="222">
        <f t="shared" si="81"/>
        <v>0.25</v>
      </c>
      <c r="H55" s="222">
        <f t="shared" si="60"/>
        <v>4.8000000000000007</v>
      </c>
      <c r="I55" s="222">
        <f t="shared" si="85"/>
        <v>3</v>
      </c>
      <c r="J55" s="556">
        <f t="shared" si="1"/>
        <v>13.5</v>
      </c>
      <c r="K55" s="452">
        <f t="shared" si="2"/>
        <v>12.25</v>
      </c>
      <c r="L55" s="452">
        <f t="shared" si="3"/>
        <v>25.75</v>
      </c>
      <c r="M55" s="452"/>
      <c r="N55" s="222">
        <f t="shared" si="4"/>
        <v>0.47572815533980584</v>
      </c>
      <c r="O55" s="177">
        <f t="shared" si="82"/>
        <v>7.6969156086631818</v>
      </c>
      <c r="P55" s="177">
        <f t="shared" si="61"/>
        <v>7.8171799150485421</v>
      </c>
      <c r="Q55" s="222">
        <f t="shared" si="6"/>
        <v>0.64140963405526519</v>
      </c>
      <c r="R55" s="222">
        <f t="shared" si="62"/>
        <v>0.64140963405526519</v>
      </c>
      <c r="S55" s="452">
        <f t="shared" si="63"/>
        <v>12</v>
      </c>
      <c r="T55" s="222">
        <f t="shared" si="64"/>
        <v>2.5568683613796397</v>
      </c>
      <c r="U55" s="222">
        <f t="shared" si="10"/>
        <v>1.3257835947894427</v>
      </c>
      <c r="V55" s="222">
        <f t="shared" si="11"/>
        <v>1.4610676350740799</v>
      </c>
      <c r="W55" s="202">
        <f t="shared" si="12"/>
        <v>350</v>
      </c>
      <c r="X55" s="452">
        <f t="shared" si="43"/>
        <v>350</v>
      </c>
      <c r="Z55" s="222">
        <f t="shared" si="13"/>
        <v>2.6213592233009715</v>
      </c>
      <c r="AA55" s="178">
        <f t="shared" si="14"/>
        <v>1.4979195561719838</v>
      </c>
      <c r="AB55" s="178">
        <f t="shared" si="65"/>
        <v>0.68715241775850722</v>
      </c>
      <c r="AC55" s="178"/>
      <c r="AD55" s="178">
        <f t="shared" si="16"/>
        <v>0.46857142857142853</v>
      </c>
      <c r="AE55" s="560">
        <f t="shared" si="66"/>
        <v>2082.0939916716247</v>
      </c>
      <c r="AF55" s="543">
        <f t="shared" si="67"/>
        <v>6.723999999999998E-2</v>
      </c>
      <c r="AH55" s="178">
        <f t="shared" si="68"/>
        <v>2.5233602475222421</v>
      </c>
      <c r="AI55" s="178">
        <f t="shared" si="69"/>
        <v>2.5233602475222421</v>
      </c>
      <c r="AJ55" s="178">
        <f t="shared" si="70"/>
        <v>2.4617483314979571</v>
      </c>
      <c r="AL55" s="560">
        <f t="shared" si="71"/>
        <v>400</v>
      </c>
      <c r="AM55" s="470">
        <f t="shared" si="72"/>
        <v>350</v>
      </c>
      <c r="AO55">
        <f t="shared" si="44"/>
        <v>400</v>
      </c>
      <c r="AP55" s="470">
        <f t="shared" si="24"/>
        <v>350</v>
      </c>
      <c r="AQ55" s="470"/>
      <c r="AR55" s="6">
        <f t="shared" si="45"/>
        <v>2.8571428571428572</v>
      </c>
      <c r="AS55" s="6">
        <f t="shared" si="25"/>
        <v>1.308409017233755</v>
      </c>
      <c r="AT55" s="6">
        <f t="shared" si="46"/>
        <v>1.5487338399091022</v>
      </c>
      <c r="AU55" s="178">
        <f t="shared" si="47"/>
        <v>0.45794315603181424</v>
      </c>
      <c r="AW55" s="6">
        <f>L*Iout^2/(2*Vripple1_spec*Vout*Npri_sec1^2)*1000000000*((1+N55)/(1-N55))^2</f>
        <v>12.324950464868163</v>
      </c>
      <c r="AX55" s="6">
        <f>L*F55^2/(2*Cout*Vout*Nps^2)*1000000000*((1+N55)/(1-N55))^2+F55*RCoutEsr</f>
        <v>9.066989658426488</v>
      </c>
      <c r="AY55" s="6">
        <f>L*Iout2^2/(2*Vripple2_spec*Vout2*Npri_sec2^2)*1000000000*((1+N55)/(1-N55))^2</f>
        <v>4.8144337753391264</v>
      </c>
      <c r="AZ55" s="6">
        <f>L*G55^2/(2*Cout2*Vout2*Npri_sec2^2)*1000000000*((1+N55)/(1-N55))^2+G55*CoutEsr2</f>
        <v>3.8230428353228461</v>
      </c>
      <c r="BA55" s="6">
        <f>(H55+I55)/Efficiency/J55*AT55/Vinripple1</f>
        <v>1.3954370314104105</v>
      </c>
      <c r="BB55" s="470">
        <f>((BZ55/J55/Efficiency)*AT55/Cin+(BZ55/J55/Efficiency)*RCinEsr)*1000</f>
        <v>96.016561023711489</v>
      </c>
      <c r="BC55" s="6"/>
      <c r="BD55" s="178">
        <f t="shared" si="48"/>
        <v>0.9858808164432401</v>
      </c>
      <c r="BE55" s="178">
        <f t="shared" si="73"/>
        <v>1.0726080343541378</v>
      </c>
      <c r="BF55" s="178">
        <f t="shared" si="74"/>
        <v>0.67038002147133602</v>
      </c>
      <c r="BG55" s="178"/>
      <c r="BH55" s="543">
        <f t="shared" si="28"/>
        <v>0.10691570826538686</v>
      </c>
      <c r="BI55" s="543">
        <f t="shared" si="29"/>
        <v>0.11370892115397105</v>
      </c>
      <c r="BJ55" s="543">
        <f t="shared" si="30"/>
        <v>1.7499999999999998E-2</v>
      </c>
      <c r="BK55" s="543">
        <f t="shared" si="31"/>
        <v>5.2216171874999995E-2</v>
      </c>
      <c r="BL55">
        <f t="shared" si="32"/>
        <v>3.9150000000000001E-3</v>
      </c>
      <c r="BM55" s="470">
        <f t="shared" si="49"/>
        <v>294.25580129435792</v>
      </c>
      <c r="BN55" s="178">
        <f t="shared" si="75"/>
        <v>0.16000000000000003</v>
      </c>
      <c r="BO55" s="178">
        <f t="shared" si="76"/>
        <v>0.1</v>
      </c>
      <c r="BP55" s="543"/>
      <c r="BR55" s="470">
        <f t="shared" si="50"/>
        <v>260</v>
      </c>
      <c r="BS55" s="543">
        <f t="shared" si="35"/>
        <v>3.887843936923159E-2</v>
      </c>
      <c r="BT55" s="543">
        <f t="shared" si="51"/>
        <v>4.6019519814441891E-2</v>
      </c>
      <c r="BU55" s="543">
        <f t="shared" si="77"/>
        <v>1.3482281195637269E-2</v>
      </c>
      <c r="BV55" s="543">
        <f t="shared" si="37"/>
        <v>0</v>
      </c>
      <c r="BW55" s="648">
        <f t="shared" si="78"/>
        <v>8.3571428571428574E-2</v>
      </c>
      <c r="BX55" s="470">
        <f t="shared" si="52"/>
        <v>181.95166895073933</v>
      </c>
      <c r="BY55" s="178">
        <f t="shared" si="53"/>
        <v>0.73620747024509736</v>
      </c>
      <c r="BZ55" s="6">
        <f t="shared" si="54"/>
        <v>7.8000000000000007</v>
      </c>
      <c r="CA55" s="178">
        <f t="shared" si="55"/>
        <v>0.91375473559993503</v>
      </c>
      <c r="CB55" s="6">
        <f t="shared" si="56"/>
        <v>91.375473559993509</v>
      </c>
      <c r="CC55">
        <f t="shared" si="83"/>
        <v>50</v>
      </c>
      <c r="CE55" s="577">
        <f t="shared" si="79"/>
        <v>-50</v>
      </c>
      <c r="CF55">
        <f t="shared" si="80"/>
        <v>-50</v>
      </c>
    </row>
    <row r="56" spans="5:84" x14ac:dyDescent="0.2">
      <c r="E56" s="175">
        <v>51</v>
      </c>
      <c r="F56" s="222">
        <f t="shared" si="84"/>
        <v>0.40800000000000003</v>
      </c>
      <c r="G56" s="222">
        <f t="shared" si="81"/>
        <v>0.255</v>
      </c>
      <c r="H56" s="222">
        <f t="shared" si="60"/>
        <v>4.8960000000000008</v>
      </c>
      <c r="I56" s="222">
        <f t="shared" si="85"/>
        <v>3.06</v>
      </c>
      <c r="J56" s="556">
        <f t="shared" si="1"/>
        <v>13.5</v>
      </c>
      <c r="K56" s="452">
        <f t="shared" si="2"/>
        <v>12.25</v>
      </c>
      <c r="L56" s="452">
        <f t="shared" si="3"/>
        <v>25.75</v>
      </c>
      <c r="M56" s="452"/>
      <c r="N56" s="222">
        <f t="shared" si="4"/>
        <v>0.47572815533980584</v>
      </c>
      <c r="O56" s="177">
        <f t="shared" si="82"/>
        <v>7.6969156086631818</v>
      </c>
      <c r="P56" s="177">
        <f t="shared" si="61"/>
        <v>7.8171799150485421</v>
      </c>
      <c r="Q56" s="222">
        <f t="shared" si="6"/>
        <v>0.64140963405526519</v>
      </c>
      <c r="R56" s="222">
        <f t="shared" si="62"/>
        <v>0.64140963405526519</v>
      </c>
      <c r="S56" s="452">
        <f t="shared" si="63"/>
        <v>12</v>
      </c>
      <c r="T56" s="222">
        <f t="shared" si="64"/>
        <v>2.6080057286072327</v>
      </c>
      <c r="U56" s="222">
        <f t="shared" si="10"/>
        <v>1.3522992666852316</v>
      </c>
      <c r="V56" s="222">
        <f t="shared" si="11"/>
        <v>1.4902889877755614</v>
      </c>
      <c r="W56" s="202">
        <f t="shared" si="12"/>
        <v>350</v>
      </c>
      <c r="X56" s="452">
        <f t="shared" si="43"/>
        <v>350</v>
      </c>
      <c r="Z56" s="222">
        <f t="shared" si="13"/>
        <v>2.6213592233009715</v>
      </c>
      <c r="AA56" s="178">
        <f t="shared" si="14"/>
        <v>1.4979195561719838</v>
      </c>
      <c r="AB56" s="178">
        <f t="shared" si="65"/>
        <v>0.68715241775850722</v>
      </c>
      <c r="AC56" s="178"/>
      <c r="AD56" s="178">
        <f t="shared" si="16"/>
        <v>0.46857142857142853</v>
      </c>
      <c r="AE56" s="560">
        <f t="shared" si="66"/>
        <v>2123.7358715050568</v>
      </c>
      <c r="AF56" s="543">
        <f t="shared" si="67"/>
        <v>6.723999999999998E-2</v>
      </c>
      <c r="AH56" s="178">
        <f t="shared" si="68"/>
        <v>2.5484689281117441</v>
      </c>
      <c r="AI56" s="178">
        <f t="shared" si="69"/>
        <v>2.5484689281117441</v>
      </c>
      <c r="AJ56" s="178">
        <f t="shared" si="70"/>
        <v>2.4803473541568479</v>
      </c>
      <c r="AL56" s="560">
        <f t="shared" si="71"/>
        <v>408.00000000000006</v>
      </c>
      <c r="AM56" s="470">
        <f t="shared" si="72"/>
        <v>350</v>
      </c>
      <c r="AO56">
        <f t="shared" si="44"/>
        <v>408.00000000000006</v>
      </c>
      <c r="AP56" s="470">
        <f t="shared" si="24"/>
        <v>350</v>
      </c>
      <c r="AQ56" s="470"/>
      <c r="AR56" s="6">
        <f t="shared" si="45"/>
        <v>2.8571428571428572</v>
      </c>
      <c r="AS56" s="6">
        <f t="shared" si="25"/>
        <v>1.3214283330949783</v>
      </c>
      <c r="AT56" s="6">
        <f t="shared" si="46"/>
        <v>1.5357145240478789</v>
      </c>
      <c r="AU56" s="178">
        <f t="shared" si="47"/>
        <v>0.46249991658324241</v>
      </c>
      <c r="AW56" s="6">
        <f>L*Iout^2/(2*Vripple1_spec*Vout*Npri_sec1^2)*1000000000*((1+N56)/(1-N56))^2</f>
        <v>12.324950464868163</v>
      </c>
      <c r="AX56" s="6">
        <f>L*F56^2/(2*Cout*Vout*Nps^2)*1000000000*((1+N56)/(1-N56))^2+F56*RCoutEsr</f>
        <v>9.4088160406269168</v>
      </c>
      <c r="AY56" s="6">
        <f>L*Iout2^2/(2*Vripple2_spec*Vout2*Npri_sec2^2)*1000000000*((1+N56)/(1-N56))^2</f>
        <v>4.8144337753391264</v>
      </c>
      <c r="AZ56" s="6">
        <f>L*G56^2/(2*Cout2*Vout2*Npri_sec2^2)*1000000000*((1+N56)/(1-N56))^2+G56*CoutEsr2</f>
        <v>3.9621937658698894</v>
      </c>
      <c r="BA56" s="6">
        <f>(H56+I56)/Efficiency/J56*AT56/Vinripple1</f>
        <v>1.411380521646082</v>
      </c>
      <c r="BB56" s="470">
        <f>((BZ56/J56/Efficiency)*AT56/Cin+(BZ56/J56/Efficiency)*RCinEsr)*1000</f>
        <v>97.129237842689477</v>
      </c>
      <c r="BC56" s="6"/>
      <c r="BD56" s="178">
        <f t="shared" si="48"/>
        <v>1.000632362825469</v>
      </c>
      <c r="BE56" s="178">
        <f t="shared" si="73"/>
        <v>1.0787181437474727</v>
      </c>
      <c r="BF56" s="178">
        <f t="shared" si="74"/>
        <v>0.67419883984217033</v>
      </c>
      <c r="BG56" s="178"/>
      <c r="BH56" s="543">
        <f t="shared" si="28"/>
        <v>0.11013916380870492</v>
      </c>
      <c r="BI56" s="543">
        <f t="shared" si="29"/>
        <v>0.11484038107303547</v>
      </c>
      <c r="BJ56" s="543">
        <f t="shared" si="30"/>
        <v>1.7499999999999998E-2</v>
      </c>
      <c r="BK56" s="543">
        <f t="shared" si="31"/>
        <v>5.2216171874999995E-2</v>
      </c>
      <c r="BL56">
        <f t="shared" si="32"/>
        <v>3.9150000000000001E-3</v>
      </c>
      <c r="BM56" s="470">
        <f t="shared" si="49"/>
        <v>298.61071675674032</v>
      </c>
      <c r="BN56" s="178">
        <f t="shared" si="75"/>
        <v>0.16320000000000001</v>
      </c>
      <c r="BO56" s="178">
        <f t="shared" si="76"/>
        <v>0.10200000000000001</v>
      </c>
      <c r="BP56" s="543"/>
      <c r="BR56" s="470">
        <f t="shared" si="50"/>
        <v>265.2</v>
      </c>
      <c r="BS56" s="543">
        <f t="shared" si="35"/>
        <v>4.0050605021347246E-2</v>
      </c>
      <c r="BT56" s="543">
        <f t="shared" si="51"/>
        <v>4.654531334599972E-2</v>
      </c>
      <c r="BU56" s="543">
        <f t="shared" si="77"/>
        <v>1.3636322269335852E-2</v>
      </c>
      <c r="BV56" s="543">
        <f t="shared" si="37"/>
        <v>0</v>
      </c>
      <c r="BW56" s="648">
        <f t="shared" si="78"/>
        <v>8.5242857142857176E-2</v>
      </c>
      <c r="BX56" s="470">
        <f t="shared" si="52"/>
        <v>185.47509777953999</v>
      </c>
      <c r="BY56" s="178">
        <f t="shared" si="53"/>
        <v>0.7492858145362804</v>
      </c>
      <c r="BZ56" s="6">
        <f t="shared" si="54"/>
        <v>7.9560000000000013</v>
      </c>
      <c r="CA56" s="178">
        <f t="shared" si="55"/>
        <v>0.91392748836745763</v>
      </c>
      <c r="CB56" s="6">
        <f t="shared" si="56"/>
        <v>91.392748836745767</v>
      </c>
      <c r="CC56">
        <f t="shared" si="83"/>
        <v>51</v>
      </c>
      <c r="CE56" s="577">
        <f t="shared" si="79"/>
        <v>-50</v>
      </c>
      <c r="CF56">
        <f t="shared" si="80"/>
        <v>-50</v>
      </c>
    </row>
    <row r="57" spans="5:84" x14ac:dyDescent="0.2">
      <c r="E57" s="175">
        <v>52</v>
      </c>
      <c r="F57" s="222">
        <f t="shared" si="84"/>
        <v>0.41600000000000004</v>
      </c>
      <c r="G57" s="222">
        <f t="shared" si="81"/>
        <v>0.26</v>
      </c>
      <c r="H57" s="222">
        <f t="shared" si="60"/>
        <v>4.9920000000000009</v>
      </c>
      <c r="I57" s="222">
        <f t="shared" si="85"/>
        <v>3.12</v>
      </c>
      <c r="J57" s="556">
        <f t="shared" si="1"/>
        <v>13.5</v>
      </c>
      <c r="K57" s="452">
        <f t="shared" si="2"/>
        <v>12.25</v>
      </c>
      <c r="L57" s="452">
        <f t="shared" si="3"/>
        <v>25.75</v>
      </c>
      <c r="M57" s="452"/>
      <c r="N57" s="222">
        <f t="shared" si="4"/>
        <v>0.47572815533980584</v>
      </c>
      <c r="O57" s="177">
        <f t="shared" si="82"/>
        <v>7.6969156086631818</v>
      </c>
      <c r="P57" s="177">
        <f t="shared" si="61"/>
        <v>7.8171799150485421</v>
      </c>
      <c r="Q57" s="222">
        <f t="shared" si="6"/>
        <v>0.64140963405526519</v>
      </c>
      <c r="R57" s="222">
        <f t="shared" si="62"/>
        <v>0.64140963405526519</v>
      </c>
      <c r="S57" s="452">
        <f t="shared" si="63"/>
        <v>12</v>
      </c>
      <c r="T57" s="222">
        <f t="shared" si="64"/>
        <v>2.6591430958348257</v>
      </c>
      <c r="U57" s="222">
        <f t="shared" si="10"/>
        <v>1.3788149385810209</v>
      </c>
      <c r="V57" s="222">
        <f t="shared" si="11"/>
        <v>1.5195103404770434</v>
      </c>
      <c r="W57" s="202">
        <f t="shared" si="12"/>
        <v>350</v>
      </c>
      <c r="X57" s="452">
        <f t="shared" si="43"/>
        <v>345.02683574736409</v>
      </c>
      <c r="Z57" s="222">
        <f t="shared" si="13"/>
        <v>2.6213592233009715</v>
      </c>
      <c r="AA57" s="178">
        <f t="shared" si="14"/>
        <v>1.4979195561719838</v>
      </c>
      <c r="AB57" s="178">
        <f t="shared" si="65"/>
        <v>0.68715241775850722</v>
      </c>
      <c r="AC57" s="178"/>
      <c r="AD57" s="178">
        <f t="shared" si="16"/>
        <v>0.46857142857142853</v>
      </c>
      <c r="AE57" s="560">
        <f t="shared" si="66"/>
        <v>2165.3777513384898</v>
      </c>
      <c r="AF57" s="543">
        <f t="shared" si="67"/>
        <v>6.723999999999998E-2</v>
      </c>
      <c r="AH57" s="178">
        <f t="shared" si="68"/>
        <v>2.5733326283880467</v>
      </c>
      <c r="AI57" s="178">
        <f t="shared" si="69"/>
        <v>2.5733326283880467</v>
      </c>
      <c r="AJ57" s="178">
        <f t="shared" si="70"/>
        <v>2.4987649099170719</v>
      </c>
      <c r="AL57" s="560">
        <f t="shared" si="71"/>
        <v>416.00000000000006</v>
      </c>
      <c r="AM57" s="470">
        <f t="shared" si="72"/>
        <v>345.02683574736409</v>
      </c>
      <c r="AO57">
        <f t="shared" si="44"/>
        <v>416.00000000000006</v>
      </c>
      <c r="AP57" s="470">
        <f t="shared" si="24"/>
        <v>345.02683574736409</v>
      </c>
      <c r="AQ57" s="470"/>
      <c r="AR57" s="6">
        <f t="shared" si="45"/>
        <v>2.8983252790580645</v>
      </c>
      <c r="AS57" s="6">
        <f t="shared" si="25"/>
        <v>1.3343206221271353</v>
      </c>
      <c r="AT57" s="6">
        <f t="shared" si="46"/>
        <v>1.5640046569309292</v>
      </c>
      <c r="AU57" s="178">
        <f t="shared" si="47"/>
        <v>0.46037642212497976</v>
      </c>
      <c r="AW57" s="6">
        <f>L*Iout^2/(2*Vripple1_spec*Vout*Npri_sec1^2)*1000000000*((1+N57)/(1-N57))^2</f>
        <v>12.324950464868163</v>
      </c>
      <c r="AX57" s="6">
        <f>L*F57^2/(2*Cout*Vout*Nps^2)*1000000000*((1+N57)/(1-N57))^2+F57*RCoutEsr</f>
        <v>9.7569360145540891</v>
      </c>
      <c r="AY57" s="6">
        <f>L*Iout2^2/(2*Vripple2_spec*Vout2*Npri_sec2^2)*1000000000*((1+N57)/(1-N57))^2</f>
        <v>4.8144337753391264</v>
      </c>
      <c r="AZ57" s="6">
        <f>L*G57^2/(2*Cout2*Vout2*Npri_sec2^2)*1000000000*((1+N57)/(1-N57))^2+G57*CoutEsr2</f>
        <v>4.1038031306851908</v>
      </c>
      <c r="BA57" s="6">
        <f>(H57+I57)/Efficiency/J57*AT57/Vinripple1</f>
        <v>1.4655641645540338</v>
      </c>
      <c r="BB57" s="470">
        <f>((BZ57/J57/Efficiency)*AT57/Cin+(BZ57/J57/Efficiency)*RCinEsr)*1000</f>
        <v>100.8231249670464</v>
      </c>
      <c r="BC57" s="6"/>
      <c r="BD57" s="178">
        <f t="shared" si="48"/>
        <v>1.0080726591183775</v>
      </c>
      <c r="BE57" s="178">
        <f t="shared" si="73"/>
        <v>1.0913919794068099</v>
      </c>
      <c r="BF57" s="178">
        <f t="shared" si="74"/>
        <v>0.68211998712925603</v>
      </c>
      <c r="BG57" s="178"/>
      <c r="BH57" s="543">
        <f t="shared" si="28"/>
        <v>0.11178315346681962</v>
      </c>
      <c r="BI57" s="543">
        <f t="shared" si="29"/>
        <v>0.11431310981514009</v>
      </c>
      <c r="BJ57" s="543">
        <f t="shared" si="30"/>
        <v>1.7251341787368205E-2</v>
      </c>
      <c r="BK57" s="543">
        <f t="shared" si="31"/>
        <v>5.1474230162490732E-2</v>
      </c>
      <c r="BL57">
        <f t="shared" si="32"/>
        <v>3.9150000000000001E-3</v>
      </c>
      <c r="BM57" s="470">
        <f t="shared" si="49"/>
        <v>298.73683523181865</v>
      </c>
      <c r="BN57" s="178">
        <f t="shared" si="75"/>
        <v>0.16640000000000002</v>
      </c>
      <c r="BO57" s="178">
        <f t="shared" si="76"/>
        <v>0.10400000000000001</v>
      </c>
      <c r="BP57" s="543"/>
      <c r="BR57" s="470">
        <f t="shared" si="50"/>
        <v>270.40000000000003</v>
      </c>
      <c r="BS57" s="543">
        <f t="shared" si="35"/>
        <v>4.0648419442479863E-2</v>
      </c>
      <c r="BT57" s="543">
        <f t="shared" si="51"/>
        <v>4.7645458108540581E-2</v>
      </c>
      <c r="BU57" s="543">
        <f t="shared" si="77"/>
        <v>1.3958630305236492E-2</v>
      </c>
      <c r="BV57" s="543">
        <f t="shared" si="37"/>
        <v>0</v>
      </c>
      <c r="BW57" s="648">
        <f t="shared" si="78"/>
        <v>8.5679317089263837E-2</v>
      </c>
      <c r="BX57" s="470">
        <f t="shared" si="52"/>
        <v>187.93182494552076</v>
      </c>
      <c r="BY57" s="178">
        <f t="shared" si="53"/>
        <v>0.75706866017733943</v>
      </c>
      <c r="BZ57" s="6">
        <f t="shared" si="54"/>
        <v>8.1120000000000019</v>
      </c>
      <c r="CA57" s="178">
        <f t="shared" si="55"/>
        <v>0.91463944082690174</v>
      </c>
      <c r="CB57" s="6">
        <f t="shared" si="56"/>
        <v>91.463944082690176</v>
      </c>
      <c r="CC57">
        <f t="shared" si="83"/>
        <v>52</v>
      </c>
      <c r="CE57" s="577">
        <f t="shared" si="79"/>
        <v>-50</v>
      </c>
      <c r="CF57">
        <f t="shared" si="80"/>
        <v>-50</v>
      </c>
    </row>
    <row r="58" spans="5:84" x14ac:dyDescent="0.2">
      <c r="E58" s="175">
        <v>53</v>
      </c>
      <c r="F58" s="222">
        <f t="shared" si="84"/>
        <v>0.42400000000000004</v>
      </c>
      <c r="G58" s="222">
        <f t="shared" si="81"/>
        <v>0.26500000000000001</v>
      </c>
      <c r="H58" s="222">
        <f t="shared" si="60"/>
        <v>5.088000000000001</v>
      </c>
      <c r="I58" s="222">
        <f t="shared" si="85"/>
        <v>3.18</v>
      </c>
      <c r="J58" s="556">
        <f t="shared" si="1"/>
        <v>13.5</v>
      </c>
      <c r="K58" s="452">
        <f t="shared" si="2"/>
        <v>12.25</v>
      </c>
      <c r="L58" s="452">
        <f t="shared" si="3"/>
        <v>25.75</v>
      </c>
      <c r="M58" s="452"/>
      <c r="N58" s="222">
        <f t="shared" si="4"/>
        <v>0.47572815533980584</v>
      </c>
      <c r="O58" s="177">
        <f t="shared" si="82"/>
        <v>7.6969156086631818</v>
      </c>
      <c r="P58" s="177">
        <f t="shared" si="61"/>
        <v>7.8171799150485421</v>
      </c>
      <c r="Q58" s="222">
        <f t="shared" si="6"/>
        <v>0.64140963405526519</v>
      </c>
      <c r="R58" s="222">
        <f t="shared" si="62"/>
        <v>0.64140963405526519</v>
      </c>
      <c r="S58" s="452">
        <f t="shared" si="63"/>
        <v>12</v>
      </c>
      <c r="T58" s="222">
        <f t="shared" si="64"/>
        <v>2.7102804630624182</v>
      </c>
      <c r="U58" s="222">
        <f t="shared" si="10"/>
        <v>1.4053306104768093</v>
      </c>
      <c r="V58" s="222">
        <f t="shared" si="11"/>
        <v>1.5487316931785244</v>
      </c>
      <c r="W58" s="202">
        <f t="shared" si="12"/>
        <v>350</v>
      </c>
      <c r="X58" s="452">
        <f t="shared" si="43"/>
        <v>338.51689545024414</v>
      </c>
      <c r="Z58" s="222">
        <f t="shared" si="13"/>
        <v>2.6213592233009715</v>
      </c>
      <c r="AA58" s="178">
        <f t="shared" si="14"/>
        <v>1.4979195561719838</v>
      </c>
      <c r="AB58" s="178">
        <f t="shared" si="65"/>
        <v>0.68715241775850722</v>
      </c>
      <c r="AC58" s="178"/>
      <c r="AD58" s="178">
        <f t="shared" si="16"/>
        <v>0.46857142857142853</v>
      </c>
      <c r="AE58" s="560">
        <f t="shared" si="66"/>
        <v>2207.0196311719224</v>
      </c>
      <c r="AF58" s="543">
        <f t="shared" si="67"/>
        <v>6.723999999999998E-2</v>
      </c>
      <c r="AH58" s="178">
        <f t="shared" si="68"/>
        <v>2.5979583820958414</v>
      </c>
      <c r="AI58" s="178">
        <f t="shared" si="69"/>
        <v>2.5979583820958414</v>
      </c>
      <c r="AJ58" s="178">
        <f t="shared" si="70"/>
        <v>2.5170062089598826</v>
      </c>
      <c r="AL58" s="560">
        <f t="shared" si="71"/>
        <v>424.00000000000006</v>
      </c>
      <c r="AM58" s="470">
        <f t="shared" si="72"/>
        <v>338.51689545024414</v>
      </c>
      <c r="AO58">
        <f t="shared" si="44"/>
        <v>424.00000000000006</v>
      </c>
      <c r="AP58" s="470">
        <f t="shared" si="24"/>
        <v>338.51689545024414</v>
      </c>
      <c r="AQ58" s="470"/>
      <c r="AR58" s="6">
        <f t="shared" si="45"/>
        <v>2.9540623036553337</v>
      </c>
      <c r="AS58" s="6">
        <f t="shared" si="25"/>
        <v>1.347089531457103</v>
      </c>
      <c r="AT58" s="6">
        <f t="shared" si="46"/>
        <v>1.6069727721982308</v>
      </c>
      <c r="AU58" s="178">
        <f t="shared" si="47"/>
        <v>0.4560125660823825</v>
      </c>
      <c r="AW58" s="6">
        <f>L*Iout^2/(2*Vripple1_spec*Vout*Npri_sec1^2)*1000000000*((1+N58)/(1-N58))^2</f>
        <v>12.324950464868163</v>
      </c>
      <c r="AX58" s="6">
        <f>L*F58^2/(2*Cout*Vout*Nps^2)*1000000000*((1+N58)/(1-N58))^2+F58*RCoutEsr</f>
        <v>10.111349580208003</v>
      </c>
      <c r="AY58" s="6">
        <f>L*Iout2^2/(2*Vripple2_spec*Vout2*Npri_sec2^2)*1000000000*((1+N58)/(1-N58))^2</f>
        <v>4.8144337753391264</v>
      </c>
      <c r="AZ58" s="6">
        <f>L*G58^2/(2*Cout2*Vout2*Npri_sec2^2)*1000000000*((1+N58)/(1-N58))^2+G58*CoutEsr2</f>
        <v>4.2478709297687498</v>
      </c>
      <c r="BA58" s="6">
        <f>(H58+I58)/Efficiency/J58*AT58/Vinripple1</f>
        <v>1.5347860377486073</v>
      </c>
      <c r="BB58" s="470">
        <f>((BZ58/J58/Efficiency)*AT58/Cin+(BZ58/J58/Efficiency)*RCinEsr)*1000</f>
        <v>105.53209263575027</v>
      </c>
      <c r="BC58" s="6"/>
      <c r="BD58" s="178">
        <f t="shared" si="48"/>
        <v>1.0128845985088155</v>
      </c>
      <c r="BE58" s="178">
        <f t="shared" si="73"/>
        <v>1.1062823818858287</v>
      </c>
      <c r="BF58" s="178">
        <f t="shared" si="74"/>
        <v>0.69142648867864287</v>
      </c>
      <c r="BG58" s="178"/>
      <c r="BH58" s="543">
        <f t="shared" si="28"/>
        <v>0.11285287308860008</v>
      </c>
      <c r="BI58" s="543">
        <f t="shared" si="29"/>
        <v>0.113229548774563</v>
      </c>
      <c r="BJ58" s="543">
        <f t="shared" si="30"/>
        <v>1.6925844772512206E-2</v>
      </c>
      <c r="BK58" s="543">
        <f t="shared" si="31"/>
        <v>5.0503018272632434E-2</v>
      </c>
      <c r="BL58">
        <f t="shared" si="32"/>
        <v>3.9150000000000001E-3</v>
      </c>
      <c r="BM58" s="470">
        <f t="shared" si="49"/>
        <v>297.42628490830776</v>
      </c>
      <c r="BN58" s="178">
        <f t="shared" si="75"/>
        <v>0.16960000000000003</v>
      </c>
      <c r="BO58" s="178">
        <f t="shared" si="76"/>
        <v>0.10600000000000001</v>
      </c>
      <c r="BP58" s="543"/>
      <c r="BR58" s="470">
        <f t="shared" si="50"/>
        <v>275.60000000000008</v>
      </c>
      <c r="BS58" s="543">
        <f t="shared" si="35"/>
        <v>4.1037408395854576E-2</v>
      </c>
      <c r="BT58" s="543">
        <f t="shared" si="51"/>
        <v>4.8954428338839298E-2</v>
      </c>
      <c r="BU58" s="543">
        <f t="shared" si="77"/>
        <v>1.4342117677394323E-2</v>
      </c>
      <c r="BV58" s="543">
        <f t="shared" si="37"/>
        <v>0</v>
      </c>
      <c r="BW58" s="648">
        <f t="shared" si="78"/>
        <v>8.5679317089263865E-2</v>
      </c>
      <c r="BX58" s="470">
        <f t="shared" si="52"/>
        <v>190.01327150135205</v>
      </c>
      <c r="BY58" s="178">
        <f t="shared" si="53"/>
        <v>0.76303955640965992</v>
      </c>
      <c r="BZ58" s="6">
        <f t="shared" si="54"/>
        <v>8.2680000000000007</v>
      </c>
      <c r="CA58" s="178">
        <f t="shared" si="55"/>
        <v>0.91550922220597475</v>
      </c>
      <c r="CB58" s="6">
        <f t="shared" si="56"/>
        <v>91.550922220597471</v>
      </c>
      <c r="CC58">
        <f t="shared" si="83"/>
        <v>53</v>
      </c>
      <c r="CE58" s="577">
        <f t="shared" si="79"/>
        <v>-50</v>
      </c>
      <c r="CF58">
        <f t="shared" si="80"/>
        <v>-50</v>
      </c>
    </row>
    <row r="59" spans="5:84" x14ac:dyDescent="0.2">
      <c r="E59" s="175">
        <v>54</v>
      </c>
      <c r="F59" s="222">
        <f t="shared" si="84"/>
        <v>0.43200000000000005</v>
      </c>
      <c r="G59" s="222">
        <f t="shared" si="81"/>
        <v>0.27</v>
      </c>
      <c r="H59" s="222">
        <f t="shared" si="60"/>
        <v>5.1840000000000011</v>
      </c>
      <c r="I59" s="222">
        <f t="shared" si="85"/>
        <v>3.24</v>
      </c>
      <c r="J59" s="556">
        <f t="shared" si="1"/>
        <v>13.5</v>
      </c>
      <c r="K59" s="452">
        <f t="shared" si="2"/>
        <v>12.25</v>
      </c>
      <c r="L59" s="452">
        <f t="shared" si="3"/>
        <v>25.75</v>
      </c>
      <c r="M59" s="452"/>
      <c r="N59" s="222">
        <f t="shared" si="4"/>
        <v>0.47572815533980584</v>
      </c>
      <c r="O59" s="177">
        <f t="shared" si="82"/>
        <v>7.6969156086631818</v>
      </c>
      <c r="P59" s="177">
        <f t="shared" si="61"/>
        <v>7.8171799150485421</v>
      </c>
      <c r="Q59" s="222">
        <f t="shared" si="6"/>
        <v>0.64140963405526519</v>
      </c>
      <c r="R59" s="222">
        <f t="shared" si="62"/>
        <v>0.64140963405526519</v>
      </c>
      <c r="S59" s="452">
        <f t="shared" si="63"/>
        <v>12</v>
      </c>
      <c r="T59" s="222">
        <f t="shared" si="64"/>
        <v>2.7614178302900112</v>
      </c>
      <c r="U59" s="222">
        <f t="shared" si="10"/>
        <v>1.4318462823725984</v>
      </c>
      <c r="V59" s="222">
        <f t="shared" si="11"/>
        <v>1.5779530458800064</v>
      </c>
      <c r="W59" s="202">
        <f t="shared" si="12"/>
        <v>350</v>
      </c>
      <c r="X59" s="452">
        <f t="shared" si="43"/>
        <v>332.24806405301734</v>
      </c>
      <c r="Z59" s="222">
        <f t="shared" si="13"/>
        <v>2.6213592233009715</v>
      </c>
      <c r="AA59" s="178">
        <f t="shared" si="14"/>
        <v>1.4979195561719838</v>
      </c>
      <c r="AB59" s="178">
        <f t="shared" si="65"/>
        <v>0.68715241775850722</v>
      </c>
      <c r="AC59" s="178"/>
      <c r="AD59" s="178">
        <f t="shared" si="16"/>
        <v>0.46857142857142853</v>
      </c>
      <c r="AE59" s="560">
        <f t="shared" si="66"/>
        <v>2248.6615110053544</v>
      </c>
      <c r="AF59" s="543">
        <f t="shared" si="67"/>
        <v>6.723999999999998E-2</v>
      </c>
      <c r="AH59" s="178">
        <f t="shared" si="68"/>
        <v>2.6223528927048609</v>
      </c>
      <c r="AI59" s="178">
        <f t="shared" si="69"/>
        <v>2.6223528927048609</v>
      </c>
      <c r="AJ59" s="178">
        <f t="shared" si="70"/>
        <v>2.5350762168184158</v>
      </c>
      <c r="AL59" s="560">
        <f t="shared" si="71"/>
        <v>432.00000000000006</v>
      </c>
      <c r="AM59" s="470">
        <f t="shared" si="72"/>
        <v>332.24806405301734</v>
      </c>
      <c r="AO59">
        <f t="shared" si="44"/>
        <v>432.00000000000006</v>
      </c>
      <c r="AP59" s="470">
        <f t="shared" si="24"/>
        <v>332.24806405301734</v>
      </c>
      <c r="AQ59" s="470"/>
      <c r="AR59" s="6">
        <f t="shared" si="45"/>
        <v>3.0097993282526048</v>
      </c>
      <c r="AS59" s="6">
        <f t="shared" si="25"/>
        <v>1.3597385369580759</v>
      </c>
      <c r="AT59" s="6">
        <f t="shared" si="46"/>
        <v>1.6500607912945289</v>
      </c>
      <c r="AU59" s="178">
        <f t="shared" si="47"/>
        <v>0.45177049652260287</v>
      </c>
      <c r="AW59" s="6">
        <f>L*Iout^2/(2*Vripple1_spec*Vout*Npri_sec1^2)*1000000000*((1+N59)/(1-N59))^2</f>
        <v>12.324950464868163</v>
      </c>
      <c r="AX59" s="6">
        <f>L*F59^2/(2*Cout*Vout*Nps^2)*1000000000*((1+N59)/(1-N59))^2+F59*RCoutEsr</f>
        <v>10.472056737588655</v>
      </c>
      <c r="AY59" s="6">
        <f>L*Iout2^2/(2*Vripple2_spec*Vout2*Npri_sec2^2)*1000000000*((1+N59)/(1-N59))^2</f>
        <v>4.8144337753391264</v>
      </c>
      <c r="AZ59" s="6">
        <f>L*G59^2/(2*Cout2*Vout2*Npri_sec2^2)*1000000000*((1+N59)/(1-N59))^2+G59*CoutEsr2</f>
        <v>4.3943971631205674</v>
      </c>
      <c r="BA59" s="6">
        <f>(H59+I59)/Efficiency/J59*AT59/Vinripple1</f>
        <v>1.605673191060875</v>
      </c>
      <c r="BB59" s="470">
        <f>((BZ59/J59/Efficiency)*AT59/Cin+(BZ59/J59/Efficiency)*RCinEsr)*1000</f>
        <v>110.35346671239856</v>
      </c>
      <c r="BC59" s="6"/>
      <c r="BD59" s="178">
        <f t="shared" si="48"/>
        <v>1.0176289184680354</v>
      </c>
      <c r="BE59" s="178">
        <f t="shared" si="73"/>
        <v>1.1210157368461695</v>
      </c>
      <c r="BF59" s="178">
        <f t="shared" si="74"/>
        <v>0.70063483552885586</v>
      </c>
      <c r="BG59" s="178"/>
      <c r="BH59" s="543">
        <f t="shared" si="28"/>
        <v>0.11391254772726657</v>
      </c>
      <c r="BI59" s="543">
        <f t="shared" si="29"/>
        <v>0.1121762277526213</v>
      </c>
      <c r="BJ59" s="543">
        <f t="shared" si="30"/>
        <v>1.6612403202650866E-2</v>
      </c>
      <c r="BK59" s="543">
        <f t="shared" si="31"/>
        <v>4.9567777193509605E-2</v>
      </c>
      <c r="BL59">
        <f t="shared" si="32"/>
        <v>3.9150000000000001E-3</v>
      </c>
      <c r="BM59" s="470">
        <f t="shared" si="49"/>
        <v>296.18395587604834</v>
      </c>
      <c r="BN59" s="178">
        <f t="shared" si="75"/>
        <v>0.17280000000000004</v>
      </c>
      <c r="BO59" s="178">
        <f t="shared" si="76"/>
        <v>0.10800000000000001</v>
      </c>
      <c r="BP59" s="543"/>
      <c r="BR59" s="470">
        <f t="shared" si="50"/>
        <v>280.80000000000007</v>
      </c>
      <c r="BS59" s="543">
        <f t="shared" si="35"/>
        <v>4.1422744628096933E-2</v>
      </c>
      <c r="BT59" s="543">
        <f t="shared" si="51"/>
        <v>5.0267051290270412E-2</v>
      </c>
      <c r="BU59" s="543">
        <f t="shared" si="77"/>
        <v>1.4726675182696406E-2</v>
      </c>
      <c r="BV59" s="543">
        <f t="shared" si="37"/>
        <v>0</v>
      </c>
      <c r="BW59" s="648">
        <f t="shared" si="78"/>
        <v>8.5679317089263837E-2</v>
      </c>
      <c r="BX59" s="470">
        <f t="shared" si="52"/>
        <v>192.09578819032757</v>
      </c>
      <c r="BY59" s="178">
        <f t="shared" si="53"/>
        <v>0.76907974406637591</v>
      </c>
      <c r="BZ59" s="6">
        <f t="shared" si="54"/>
        <v>8.4240000000000013</v>
      </c>
      <c r="CA59" s="178">
        <f t="shared" si="55"/>
        <v>0.91634144753690683</v>
      </c>
      <c r="CB59" s="6">
        <f t="shared" si="56"/>
        <v>91.634144753690677</v>
      </c>
      <c r="CC59">
        <f t="shared" si="83"/>
        <v>54</v>
      </c>
      <c r="CE59" s="577">
        <f t="shared" si="79"/>
        <v>-50</v>
      </c>
      <c r="CF59">
        <f t="shared" si="80"/>
        <v>-50</v>
      </c>
    </row>
    <row r="60" spans="5:84" x14ac:dyDescent="0.2">
      <c r="E60" s="175">
        <v>55</v>
      </c>
      <c r="F60" s="222">
        <f t="shared" si="84"/>
        <v>0.44000000000000006</v>
      </c>
      <c r="G60" s="222">
        <f t="shared" si="81"/>
        <v>0.27500000000000002</v>
      </c>
      <c r="H60" s="222">
        <f t="shared" si="60"/>
        <v>5.2800000000000011</v>
      </c>
      <c r="I60" s="222">
        <f t="shared" si="85"/>
        <v>3.3000000000000003</v>
      </c>
      <c r="J60" s="556">
        <f t="shared" si="1"/>
        <v>13.5</v>
      </c>
      <c r="K60" s="452">
        <f t="shared" si="2"/>
        <v>12.25</v>
      </c>
      <c r="L60" s="452">
        <f t="shared" si="3"/>
        <v>25.75</v>
      </c>
      <c r="M60" s="452"/>
      <c r="N60" s="222">
        <f t="shared" si="4"/>
        <v>0.47572815533980584</v>
      </c>
      <c r="O60" s="177">
        <f t="shared" si="82"/>
        <v>7.6969156086631818</v>
      </c>
      <c r="P60" s="177">
        <f t="shared" si="61"/>
        <v>7.8171799150485421</v>
      </c>
      <c r="Q60" s="222">
        <f t="shared" si="6"/>
        <v>0.64140963405526519</v>
      </c>
      <c r="R60" s="222">
        <f t="shared" si="62"/>
        <v>0.64140963405526519</v>
      </c>
      <c r="S60" s="452">
        <f t="shared" si="63"/>
        <v>12</v>
      </c>
      <c r="T60" s="222">
        <f t="shared" si="64"/>
        <v>2.8125551975176042</v>
      </c>
      <c r="U60" s="222">
        <f t="shared" si="10"/>
        <v>1.4583619542683874</v>
      </c>
      <c r="V60" s="222">
        <f t="shared" si="11"/>
        <v>1.6071743985814884</v>
      </c>
      <c r="W60" s="202">
        <f t="shared" si="12"/>
        <v>350</v>
      </c>
      <c r="X60" s="452">
        <f t="shared" si="43"/>
        <v>326.20719016114424</v>
      </c>
      <c r="Z60" s="222">
        <f t="shared" si="13"/>
        <v>2.6213592233009715</v>
      </c>
      <c r="AA60" s="178">
        <f t="shared" si="14"/>
        <v>1.4979195561719838</v>
      </c>
      <c r="AB60" s="178">
        <f t="shared" si="65"/>
        <v>0.68715241775850722</v>
      </c>
      <c r="AC60" s="178"/>
      <c r="AD60" s="178">
        <f t="shared" si="16"/>
        <v>0.46857142857142853</v>
      </c>
      <c r="AE60" s="560">
        <f t="shared" si="66"/>
        <v>2290.303390838787</v>
      </c>
      <c r="AF60" s="543">
        <f t="shared" si="67"/>
        <v>6.723999999999998E-2</v>
      </c>
      <c r="AH60" s="178">
        <f t="shared" si="68"/>
        <v>2.6465225547221514</v>
      </c>
      <c r="AI60" s="178">
        <f t="shared" si="69"/>
        <v>2.6465225547221514</v>
      </c>
      <c r="AJ60" s="178">
        <f t="shared" si="70"/>
        <v>2.5529796701645564</v>
      </c>
      <c r="AL60" s="560">
        <f t="shared" si="71"/>
        <v>440.00000000000006</v>
      </c>
      <c r="AM60" s="470">
        <f t="shared" si="72"/>
        <v>326.20719016114424</v>
      </c>
      <c r="AO60">
        <f t="shared" si="44"/>
        <v>440.00000000000006</v>
      </c>
      <c r="AP60">
        <f t="shared" si="24"/>
        <v>326.20719016114424</v>
      </c>
      <c r="AR60" s="6">
        <f t="shared" si="45"/>
        <v>3.0655363528498758</v>
      </c>
      <c r="AS60" s="6">
        <f t="shared" si="25"/>
        <v>1.3722709543003748</v>
      </c>
      <c r="AT60" s="6">
        <f t="shared" si="46"/>
        <v>1.693265398549501</v>
      </c>
      <c r="AU60" s="178">
        <f t="shared" si="47"/>
        <v>0.44764465214207727</v>
      </c>
      <c r="AW60" s="6">
        <f>L*Iout^2/(2*Vripple1_spec*Vout*Npri_sec1^2)*1000000000*((1+N60)/(1-N60))^2</f>
        <v>12.324950464868163</v>
      </c>
      <c r="AX60" s="6">
        <f>L*F60^2/(2*Cout*Vout*Nps^2)*1000000000*((1+N60)/(1-N60))^2+F60*RCoutEsr</f>
        <v>10.839057486696053</v>
      </c>
      <c r="AY60" s="6">
        <f>L*Iout2^2/(2*Vripple2_spec*Vout2*Npri_sec2^2)*1000000000*((1+N60)/(1-N60))^2</f>
        <v>4.8144337753391264</v>
      </c>
      <c r="AZ60" s="6">
        <f>L*G60^2/(2*Cout2*Vout2*Npri_sec2^2)*1000000000*((1+N60)/(1-N60))^2+G60*CoutEsr2</f>
        <v>4.5433818307406444</v>
      </c>
      <c r="BA60" s="6">
        <f>(H60+I60)/Efficiency/J60*AT60/Vinripple1</f>
        <v>1.6782288203947404</v>
      </c>
      <c r="BB60" s="470">
        <f>((BZ60/J60/Efficiency)*AT60/Cin+(BZ60/J60/Efficiency)*RCinEsr)*1000</f>
        <v>115.28746292050464</v>
      </c>
      <c r="BC60" s="6"/>
      <c r="BD60" s="178">
        <f t="shared" si="48"/>
        <v>1.0223077954679618</v>
      </c>
      <c r="BE60" s="178">
        <f t="shared" si="73"/>
        <v>1.135597045116117</v>
      </c>
      <c r="BF60" s="178">
        <f t="shared" si="74"/>
        <v>0.70974815319757301</v>
      </c>
      <c r="BG60" s="178"/>
      <c r="BH60" s="543">
        <f t="shared" si="28"/>
        <v>0.11496245515420203</v>
      </c>
      <c r="BI60" s="543">
        <f t="shared" si="29"/>
        <v>0.11115176585777829</v>
      </c>
      <c r="BJ60" s="543">
        <f t="shared" si="30"/>
        <v>1.6310359508057214E-2</v>
      </c>
      <c r="BK60" s="543">
        <f t="shared" si="31"/>
        <v>4.8666544880900331E-2</v>
      </c>
      <c r="BL60">
        <f t="shared" si="32"/>
        <v>3.9150000000000001E-3</v>
      </c>
      <c r="BM60" s="470">
        <f t="shared" si="49"/>
        <v>295.00612540093783</v>
      </c>
      <c r="BN60" s="178">
        <f t="shared" si="75"/>
        <v>0.17600000000000005</v>
      </c>
      <c r="BO60" s="178">
        <f t="shared" si="76"/>
        <v>0.11000000000000001</v>
      </c>
      <c r="BP60" s="543"/>
      <c r="BR60" s="470">
        <f t="shared" si="50"/>
        <v>286.00000000000006</v>
      </c>
      <c r="BS60" s="543">
        <f t="shared" si="35"/>
        <v>4.1804529146982558E-2</v>
      </c>
      <c r="BT60" s="543">
        <f t="shared" si="51"/>
        <v>5.1583225955058251E-2</v>
      </c>
      <c r="BU60" s="543">
        <f t="shared" si="77"/>
        <v>1.5112273229020966E-2</v>
      </c>
      <c r="BV60" s="543">
        <f t="shared" si="37"/>
        <v>0</v>
      </c>
      <c r="BW60" s="648">
        <f t="shared" si="78"/>
        <v>8.5679317089263823E-2</v>
      </c>
      <c r="BX60" s="470">
        <f t="shared" si="52"/>
        <v>194.1793454203256</v>
      </c>
      <c r="BY60" s="178">
        <f t="shared" si="53"/>
        <v>0.77518547082126343</v>
      </c>
      <c r="BZ60" s="6">
        <f t="shared" si="54"/>
        <v>8.5800000000000018</v>
      </c>
      <c r="CA60" s="178">
        <f t="shared" si="55"/>
        <v>0.91713841770010229</v>
      </c>
      <c r="CB60" s="6">
        <f t="shared" si="56"/>
        <v>91.713841770010234</v>
      </c>
      <c r="CC60">
        <f t="shared" si="83"/>
        <v>55.000000000000007</v>
      </c>
      <c r="CE60" s="577">
        <f t="shared" si="79"/>
        <v>-50</v>
      </c>
      <c r="CF60">
        <f t="shared" si="80"/>
        <v>-50</v>
      </c>
    </row>
    <row r="61" spans="5:84" x14ac:dyDescent="0.2">
      <c r="E61" s="175">
        <v>56</v>
      </c>
      <c r="F61" s="222">
        <f t="shared" si="84"/>
        <v>0.44800000000000006</v>
      </c>
      <c r="G61" s="222">
        <f t="shared" si="81"/>
        <v>0.28000000000000003</v>
      </c>
      <c r="H61" s="222">
        <f t="shared" si="60"/>
        <v>5.3760000000000012</v>
      </c>
      <c r="I61" s="222">
        <f t="shared" si="85"/>
        <v>3.3600000000000003</v>
      </c>
      <c r="J61" s="556">
        <f t="shared" si="1"/>
        <v>13.5</v>
      </c>
      <c r="K61" s="452">
        <f t="shared" si="2"/>
        <v>12.25</v>
      </c>
      <c r="L61" s="452">
        <f t="shared" si="3"/>
        <v>25.75</v>
      </c>
      <c r="M61" s="452"/>
      <c r="N61" s="222">
        <f t="shared" si="4"/>
        <v>0.47572815533980584</v>
      </c>
      <c r="O61" s="177">
        <f t="shared" si="82"/>
        <v>7.6969156086631818</v>
      </c>
      <c r="P61" s="177">
        <f t="shared" si="61"/>
        <v>7.8171799150485421</v>
      </c>
      <c r="Q61" s="222">
        <f t="shared" si="6"/>
        <v>0.64140963405526519</v>
      </c>
      <c r="R61" s="222">
        <f t="shared" si="62"/>
        <v>0.64140963405526519</v>
      </c>
      <c r="S61" s="452">
        <f t="shared" si="63"/>
        <v>12</v>
      </c>
      <c r="T61" s="222">
        <f t="shared" si="64"/>
        <v>2.8636925647451967</v>
      </c>
      <c r="U61" s="222">
        <f t="shared" si="10"/>
        <v>1.4848776261641761</v>
      </c>
      <c r="V61" s="222">
        <f t="shared" si="11"/>
        <v>1.6363957512829694</v>
      </c>
      <c r="W61" s="202">
        <f t="shared" si="12"/>
        <v>350</v>
      </c>
      <c r="X61" s="452">
        <f t="shared" si="43"/>
        <v>320.38206176540962</v>
      </c>
      <c r="Z61" s="222">
        <f t="shared" si="13"/>
        <v>2.6213592233009715</v>
      </c>
      <c r="AA61" s="178">
        <f t="shared" si="14"/>
        <v>1.4979195561719838</v>
      </c>
      <c r="AB61" s="178">
        <f t="shared" si="65"/>
        <v>0.68715241775850722</v>
      </c>
      <c r="AC61" s="178"/>
      <c r="AD61" s="178">
        <f t="shared" si="16"/>
        <v>0.46857142857142853</v>
      </c>
      <c r="AE61" s="560">
        <f t="shared" si="66"/>
        <v>2331.94527067222</v>
      </c>
      <c r="AF61" s="543">
        <f t="shared" si="67"/>
        <v>6.723999999999998E-2</v>
      </c>
      <c r="AH61" s="178">
        <f t="shared" si="68"/>
        <v>2.6704734732680966</v>
      </c>
      <c r="AI61" s="178">
        <f t="shared" si="69"/>
        <v>2.6704734732680966</v>
      </c>
      <c r="AJ61" s="178">
        <f t="shared" si="70"/>
        <v>2.5707210913097009</v>
      </c>
      <c r="AL61" s="560">
        <f t="shared" si="71"/>
        <v>448.00000000000006</v>
      </c>
      <c r="AM61" s="470">
        <f t="shared" si="72"/>
        <v>320.38206176540962</v>
      </c>
      <c r="AO61">
        <f t="shared" si="44"/>
        <v>448.00000000000006</v>
      </c>
      <c r="AP61">
        <f t="shared" si="24"/>
        <v>320.38206176540962</v>
      </c>
      <c r="AR61" s="6">
        <f t="shared" si="45"/>
        <v>3.1212733774471455</v>
      </c>
      <c r="AS61" s="6">
        <f t="shared" si="25"/>
        <v>1.384689949101976</v>
      </c>
      <c r="AT61" s="6">
        <f t="shared" si="46"/>
        <v>1.7365834283451695</v>
      </c>
      <c r="AU61" s="178">
        <f t="shared" si="47"/>
        <v>0.44362982079913116</v>
      </c>
      <c r="AW61" s="6">
        <f>L*Iout^2/(2*Vripple1_spec*Vout*Npri_sec1^2)*1000000000*((1+N61)/(1-N61))^2</f>
        <v>12.324950464868163</v>
      </c>
      <c r="AX61" s="6">
        <f>L*F61^2/(2*Cout*Vout*Nps^2)*1000000000*((1+N61)/(1-N61))^2+F61*RCoutEsr</f>
        <v>11.212351827530188</v>
      </c>
      <c r="AY61" s="6">
        <f>L*Iout2^2/(2*Vripple2_spec*Vout2*Npri_sec2^2)*1000000000*((1+N61)/(1-N61))^2</f>
        <v>4.8144337753391264</v>
      </c>
      <c r="AZ61" s="6">
        <f>L*G61^2/(2*Cout2*Vout2*Npri_sec2^2)*1000000000*((1+N61)/(1-N61))^2+G61*CoutEsr2</f>
        <v>4.6948249326289782</v>
      </c>
      <c r="BA61" s="6">
        <f>(H61+I61)/Efficiency/J61*AT61/Vinripple1</f>
        <v>1.7524560340796651</v>
      </c>
      <c r="BB61" s="470">
        <f>((BZ61/J61/Efficiency)*AT61/Cin+(BZ61/J61/Efficiency)*RCinEsr)*1000</f>
        <v>120.33429107230724</v>
      </c>
      <c r="BC61" s="6"/>
      <c r="BD61" s="178">
        <f t="shared" si="48"/>
        <v>1.0269232978797493</v>
      </c>
      <c r="BE61" s="178">
        <f t="shared" si="73"/>
        <v>1.1500310419352326</v>
      </c>
      <c r="BF61" s="178">
        <f t="shared" si="74"/>
        <v>0.71876940120952026</v>
      </c>
      <c r="BG61" s="178"/>
      <c r="BH61" s="543">
        <f t="shared" si="28"/>
        <v>0.11600286057010424</v>
      </c>
      <c r="BI61" s="543">
        <f t="shared" si="29"/>
        <v>0.11015486889664142</v>
      </c>
      <c r="BJ61" s="543">
        <f t="shared" si="30"/>
        <v>1.6019103088270481E-2</v>
      </c>
      <c r="BK61" s="543">
        <f t="shared" si="31"/>
        <v>4.7797499436598556E-2</v>
      </c>
      <c r="BL61">
        <f t="shared" si="32"/>
        <v>3.9150000000000001E-3</v>
      </c>
      <c r="BM61" s="470">
        <f t="shared" si="49"/>
        <v>293.88933199161471</v>
      </c>
      <c r="BN61" s="178">
        <f t="shared" si="75"/>
        <v>0.17920000000000003</v>
      </c>
      <c r="BO61" s="178">
        <f t="shared" si="76"/>
        <v>0.11200000000000002</v>
      </c>
      <c r="BP61" s="543"/>
      <c r="BR61" s="470">
        <f t="shared" si="50"/>
        <v>291.2</v>
      </c>
      <c r="BS61" s="543">
        <f t="shared" si="35"/>
        <v>4.2182858389128816E-2</v>
      </c>
      <c r="BT61" s="543">
        <f t="shared" si="51"/>
        <v>5.2902855896585478E-2</v>
      </c>
      <c r="BU61" s="543">
        <f t="shared" si="77"/>
        <v>1.5498883563452767E-2</v>
      </c>
      <c r="BV61" s="543">
        <f t="shared" si="37"/>
        <v>0</v>
      </c>
      <c r="BW61" s="648">
        <f t="shared" si="78"/>
        <v>8.5679317089263837E-2</v>
      </c>
      <c r="BX61" s="470">
        <f t="shared" si="52"/>
        <v>196.2639149384309</v>
      </c>
      <c r="BY61" s="178">
        <f t="shared" si="53"/>
        <v>0.7813532469300456</v>
      </c>
      <c r="BZ61" s="6">
        <f t="shared" si="54"/>
        <v>8.7360000000000007</v>
      </c>
      <c r="CA61" s="178">
        <f t="shared" si="55"/>
        <v>0.91790225426569283</v>
      </c>
      <c r="CB61" s="6">
        <f t="shared" si="56"/>
        <v>91.790225426569279</v>
      </c>
      <c r="CC61">
        <f t="shared" si="83"/>
        <v>56.000000000000007</v>
      </c>
      <c r="CE61" s="577">
        <f t="shared" si="79"/>
        <v>-50</v>
      </c>
      <c r="CF61">
        <f t="shared" si="80"/>
        <v>-50</v>
      </c>
    </row>
    <row r="62" spans="5:84" x14ac:dyDescent="0.2">
      <c r="E62" s="175">
        <v>57</v>
      </c>
      <c r="F62" s="222">
        <f t="shared" si="84"/>
        <v>0.45599999999999996</v>
      </c>
      <c r="G62" s="222">
        <f t="shared" si="81"/>
        <v>0.28499999999999998</v>
      </c>
      <c r="H62" s="222">
        <f t="shared" si="60"/>
        <v>5.4719999999999995</v>
      </c>
      <c r="I62" s="222">
        <f t="shared" si="85"/>
        <v>3.42</v>
      </c>
      <c r="J62" s="556">
        <f t="shared" si="1"/>
        <v>13.5</v>
      </c>
      <c r="K62" s="452">
        <f t="shared" si="2"/>
        <v>12.25</v>
      </c>
      <c r="L62" s="452">
        <f t="shared" si="3"/>
        <v>25.75</v>
      </c>
      <c r="M62" s="452"/>
      <c r="N62" s="222">
        <f t="shared" si="4"/>
        <v>0.47572815533980584</v>
      </c>
      <c r="O62" s="177">
        <f t="shared" si="82"/>
        <v>7.6969156086631818</v>
      </c>
      <c r="P62" s="177">
        <f t="shared" si="61"/>
        <v>7.8171799150485421</v>
      </c>
      <c r="Q62" s="222">
        <f t="shared" si="6"/>
        <v>0.64140963405526519</v>
      </c>
      <c r="R62" s="222">
        <f t="shared" si="62"/>
        <v>0.64140963405526519</v>
      </c>
      <c r="S62" s="452">
        <f t="shared" si="63"/>
        <v>12</v>
      </c>
      <c r="T62" s="222">
        <f t="shared" si="64"/>
        <v>2.9148299319727888</v>
      </c>
      <c r="U62" s="222">
        <f t="shared" si="10"/>
        <v>1.5113932980599645</v>
      </c>
      <c r="V62" s="222">
        <f t="shared" si="11"/>
        <v>1.6656171039844507</v>
      </c>
      <c r="W62" s="202">
        <f t="shared" si="12"/>
        <v>350</v>
      </c>
      <c r="X62" s="452">
        <f t="shared" si="43"/>
        <v>314.76132383970071</v>
      </c>
      <c r="Z62" s="222">
        <f t="shared" si="13"/>
        <v>2.6213592233009715</v>
      </c>
      <c r="AA62" s="178">
        <f t="shared" si="14"/>
        <v>1.4979195561719838</v>
      </c>
      <c r="AB62" s="178">
        <f t="shared" si="65"/>
        <v>0.68715241775850722</v>
      </c>
      <c r="AC62" s="178"/>
      <c r="AD62" s="178">
        <f t="shared" si="16"/>
        <v>0.46857142857142853</v>
      </c>
      <c r="AE62" s="560">
        <f t="shared" si="66"/>
        <v>2373.5871505056516</v>
      </c>
      <c r="AF62" s="543">
        <f t="shared" si="67"/>
        <v>6.723999999999998E-2</v>
      </c>
      <c r="AH62" s="178">
        <f t="shared" si="68"/>
        <v>2.6942114820860072</v>
      </c>
      <c r="AI62" s="178">
        <f t="shared" si="69"/>
        <v>2.6942114820860072</v>
      </c>
      <c r="AJ62" s="178">
        <f t="shared" si="70"/>
        <v>2.5883048015451906</v>
      </c>
      <c r="AL62" s="560">
        <f t="shared" si="71"/>
        <v>455.99999999999994</v>
      </c>
      <c r="AM62" s="470">
        <f t="shared" si="72"/>
        <v>314.76132383970071</v>
      </c>
      <c r="AO62">
        <f t="shared" si="44"/>
        <v>455.99999999999994</v>
      </c>
      <c r="AP62">
        <f t="shared" si="24"/>
        <v>314.76132383970071</v>
      </c>
      <c r="AR62" s="6">
        <f t="shared" si="45"/>
        <v>3.1770104020444156</v>
      </c>
      <c r="AS62" s="6">
        <f t="shared" si="25"/>
        <v>1.3969985462668184</v>
      </c>
      <c r="AT62" s="6">
        <f t="shared" si="46"/>
        <v>1.7800118557775972</v>
      </c>
      <c r="AU62" s="178">
        <f t="shared" si="47"/>
        <v>0.43972111182508111</v>
      </c>
      <c r="AW62" s="6">
        <f>L*Iout^2/(2*Vripple1_spec*Vout*Npri_sec1^2)*1000000000*((1+N62)/(1-N62))^2</f>
        <v>12.324950464868163</v>
      </c>
      <c r="AX62" s="6">
        <f>L*F62^2/(2*Cout*Vout*Nps^2)*1000000000*((1+N62)/(1-N62))^2+F62*RCoutEsr</f>
        <v>11.59193976009106</v>
      </c>
      <c r="AY62" s="6">
        <f>L*Iout2^2/(2*Vripple2_spec*Vout2*Npri_sec2^2)*1000000000*((1+N62)/(1-N62))^2</f>
        <v>4.8144337753391264</v>
      </c>
      <c r="AZ62" s="6">
        <f>L*G62^2/(2*Cout2*Vout2*Npri_sec2^2)*1000000000*((1+N62)/(1-N62))^2+G62*CoutEsr2</f>
        <v>4.8487264687855696</v>
      </c>
      <c r="BA62" s="6">
        <f>(H62+I62)/Efficiency/J62*AT62/Vinripple1</f>
        <v>1.8283578567987169</v>
      </c>
      <c r="BB62" s="470">
        <f>((BZ62/J62/Efficiency)*AT62/Cin+(BZ62/J62/Efficiency)*RCinEsr)*1000</f>
        <v>125.49415533391343</v>
      </c>
      <c r="BC62" s="6"/>
      <c r="BD62" s="178">
        <f t="shared" si="48"/>
        <v>1.0314773931656811</v>
      </c>
      <c r="BE62" s="178">
        <f t="shared" si="73"/>
        <v>1.1643222166233984</v>
      </c>
      <c r="BF62" s="178">
        <f t="shared" si="74"/>
        <v>0.72770138538962392</v>
      </c>
      <c r="BG62" s="178"/>
      <c r="BH62" s="543">
        <f t="shared" si="28"/>
        <v>0.11703401738730561</v>
      </c>
      <c r="BI62" s="543">
        <f t="shared" si="29"/>
        <v>0.10918432249870989</v>
      </c>
      <c r="BJ62" s="543">
        <f t="shared" si="30"/>
        <v>1.5738066191985034E-2</v>
      </c>
      <c r="BK62" s="543">
        <f t="shared" si="31"/>
        <v>4.695894681490384E-2</v>
      </c>
      <c r="BL62">
        <f t="shared" si="32"/>
        <v>3.9150000000000001E-3</v>
      </c>
      <c r="BM62" s="470">
        <f t="shared" si="49"/>
        <v>292.83035289290439</v>
      </c>
      <c r="BN62" s="178">
        <f t="shared" si="75"/>
        <v>0.18240000000000001</v>
      </c>
      <c r="BO62" s="178">
        <f t="shared" si="76"/>
        <v>0.11399999999999999</v>
      </c>
      <c r="BP62" s="543"/>
      <c r="BR62" s="470">
        <f t="shared" si="50"/>
        <v>296.39999999999998</v>
      </c>
      <c r="BS62" s="543">
        <f t="shared" si="35"/>
        <v>4.2557824504474769E-2</v>
      </c>
      <c r="BT62" s="543">
        <f t="shared" si="51"/>
        <v>5.4225848964912962E-2</v>
      </c>
      <c r="BU62" s="543">
        <f t="shared" si="77"/>
        <v>1.5886479188939338E-2</v>
      </c>
      <c r="BV62" s="543">
        <f t="shared" si="37"/>
        <v>0</v>
      </c>
      <c r="BW62" s="648">
        <f t="shared" si="78"/>
        <v>8.5679317089263823E-2</v>
      </c>
      <c r="BX62" s="470">
        <f t="shared" si="52"/>
        <v>198.34946974759092</v>
      </c>
      <c r="BY62" s="178">
        <f t="shared" si="53"/>
        <v>0.78757982264049531</v>
      </c>
      <c r="BZ62" s="6">
        <f t="shared" si="54"/>
        <v>8.8919999999999995</v>
      </c>
      <c r="CA62" s="178">
        <f t="shared" si="55"/>
        <v>0.91863491628031735</v>
      </c>
      <c r="CB62" s="6">
        <f t="shared" si="56"/>
        <v>91.863491628031738</v>
      </c>
      <c r="CC62">
        <f t="shared" si="83"/>
        <v>56.999999999999993</v>
      </c>
      <c r="CE62" s="577">
        <f t="shared" si="79"/>
        <v>-50</v>
      </c>
      <c r="CF62">
        <f t="shared" si="80"/>
        <v>-50</v>
      </c>
    </row>
    <row r="63" spans="5:84" x14ac:dyDescent="0.2">
      <c r="E63" s="175">
        <v>58</v>
      </c>
      <c r="F63" s="222">
        <f t="shared" si="84"/>
        <v>0.46399999999999997</v>
      </c>
      <c r="G63" s="222">
        <f t="shared" si="81"/>
        <v>0.28999999999999998</v>
      </c>
      <c r="H63" s="222">
        <f t="shared" si="60"/>
        <v>5.5679999999999996</v>
      </c>
      <c r="I63" s="222">
        <f t="shared" si="85"/>
        <v>3.4799999999999995</v>
      </c>
      <c r="J63" s="556">
        <f t="shared" si="1"/>
        <v>13.5</v>
      </c>
      <c r="K63" s="452">
        <f t="shared" si="2"/>
        <v>12.25</v>
      </c>
      <c r="L63" s="452">
        <f t="shared" si="3"/>
        <v>25.75</v>
      </c>
      <c r="M63" s="452"/>
      <c r="N63" s="222">
        <f t="shared" si="4"/>
        <v>0.47572815533980584</v>
      </c>
      <c r="O63" s="177">
        <f t="shared" si="82"/>
        <v>7.6969156086631818</v>
      </c>
      <c r="P63" s="177">
        <f t="shared" si="61"/>
        <v>7.8171799150485421</v>
      </c>
      <c r="Q63" s="222">
        <f t="shared" si="6"/>
        <v>0.64140963405526519</v>
      </c>
      <c r="R63" s="222">
        <f t="shared" si="62"/>
        <v>0.64140963405526519</v>
      </c>
      <c r="S63" s="452">
        <f t="shared" si="63"/>
        <v>12</v>
      </c>
      <c r="T63" s="222">
        <f t="shared" si="64"/>
        <v>2.9659672992003814</v>
      </c>
      <c r="U63" s="222">
        <f t="shared" si="10"/>
        <v>1.5379089699557531</v>
      </c>
      <c r="V63" s="222">
        <f t="shared" si="11"/>
        <v>1.6948384566859322</v>
      </c>
      <c r="W63" s="202">
        <f t="shared" si="12"/>
        <v>350</v>
      </c>
      <c r="X63" s="452">
        <f t="shared" si="43"/>
        <v>309.33440446315421</v>
      </c>
      <c r="Z63" s="222">
        <f t="shared" si="13"/>
        <v>2.6213592233009715</v>
      </c>
      <c r="AA63" s="178">
        <f t="shared" si="14"/>
        <v>1.4979195561719838</v>
      </c>
      <c r="AB63" s="178">
        <f t="shared" si="65"/>
        <v>0.68715241775850722</v>
      </c>
      <c r="AC63" s="178"/>
      <c r="AD63" s="178">
        <f t="shared" si="16"/>
        <v>0.46857142857142853</v>
      </c>
      <c r="AE63" s="560">
        <f t="shared" si="66"/>
        <v>2415.2290303390841</v>
      </c>
      <c r="AF63" s="543">
        <f t="shared" si="67"/>
        <v>6.723999999999998E-2</v>
      </c>
      <c r="AH63" s="178">
        <f t="shared" si="68"/>
        <v>2.7177421601357974</v>
      </c>
      <c r="AI63" s="178">
        <f t="shared" si="69"/>
        <v>2.7177421601357974</v>
      </c>
      <c r="AJ63" s="178">
        <f t="shared" si="70"/>
        <v>2.6057349334339239</v>
      </c>
      <c r="AL63" s="560">
        <f t="shared" si="71"/>
        <v>463.99999999999994</v>
      </c>
      <c r="AM63" s="470">
        <f t="shared" si="72"/>
        <v>309.33440446315421</v>
      </c>
      <c r="AO63">
        <f t="shared" si="44"/>
        <v>463.99999999999994</v>
      </c>
      <c r="AP63">
        <f t="shared" si="24"/>
        <v>309.33440446315421</v>
      </c>
      <c r="AR63" s="6">
        <f t="shared" si="45"/>
        <v>3.2327474266416854</v>
      </c>
      <c r="AS63" s="6">
        <f t="shared" si="25"/>
        <v>1.409199638588932</v>
      </c>
      <c r="AT63" s="6">
        <f t="shared" si="46"/>
        <v>1.8235477880527533</v>
      </c>
      <c r="AU63" s="178">
        <f t="shared" si="47"/>
        <v>0.43591393097259945</v>
      </c>
      <c r="AW63" s="6">
        <f>L*Iout^2/(2*Vripple1_spec*Vout*Npri_sec1^2)*1000000000*((1+N63)/(1-N63))^2</f>
        <v>12.324950464868163</v>
      </c>
      <c r="AX63" s="6">
        <f>L*F63^2/(2*Cout*Vout*Nps^2)*1000000000*((1+N63)/(1-N63))^2+F63*RCoutEsr</f>
        <v>11.977821284378678</v>
      </c>
      <c r="AY63" s="6">
        <f>L*Iout2^2/(2*Vripple2_spec*Vout2*Npri_sec2^2)*1000000000*((1+N63)/(1-N63))^2</f>
        <v>4.8144337753391264</v>
      </c>
      <c r="AZ63" s="6">
        <f>L*G63^2/(2*Cout2*Vout2*Npri_sec2^2)*1000000000*((1+N63)/(1-N63))^2+G63*CoutEsr2</f>
        <v>5.0050864392104222</v>
      </c>
      <c r="BA63" s="6">
        <f>(H63+I63)/Efficiency/J63*AT63/Vinripple1</f>
        <v>1.9059372332742828</v>
      </c>
      <c r="BB63" s="470">
        <f>((BZ63/J63/Efficiency)*AT63/Cin+(BZ63/J63/Efficiency)*RCinEsr)*1000</f>
        <v>130.76725447408427</v>
      </c>
      <c r="BC63" s="6"/>
      <c r="BD63" s="178">
        <f t="shared" si="48"/>
        <v>1.0359719544755472</v>
      </c>
      <c r="BE63" s="178">
        <f t="shared" si="73"/>
        <v>1.178474830391657</v>
      </c>
      <c r="BF63" s="178">
        <f t="shared" si="74"/>
        <v>0.73654676899478555</v>
      </c>
      <c r="BG63" s="178"/>
      <c r="BH63" s="543">
        <f t="shared" si="28"/>
        <v>0.11805616795058739</v>
      </c>
      <c r="BI63" s="543">
        <f t="shared" si="29"/>
        <v>0.1082389858959642</v>
      </c>
      <c r="BJ63" s="543">
        <f t="shared" si="30"/>
        <v>1.5466720223157711E-2</v>
      </c>
      <c r="BK63" s="543">
        <f t="shared" si="31"/>
        <v>4.6149309800853786E-2</v>
      </c>
      <c r="BL63">
        <f t="shared" si="32"/>
        <v>3.9150000000000001E-3</v>
      </c>
      <c r="BM63" s="470">
        <f t="shared" si="49"/>
        <v>291.82618387056306</v>
      </c>
      <c r="BN63" s="178">
        <f t="shared" si="75"/>
        <v>0.18559999999999999</v>
      </c>
      <c r="BO63" s="178">
        <f t="shared" si="76"/>
        <v>0.11599999999999999</v>
      </c>
      <c r="BP63" s="543"/>
      <c r="BR63" s="470">
        <f t="shared" si="50"/>
        <v>301.59999999999997</v>
      </c>
      <c r="BS63" s="543">
        <f t="shared" si="35"/>
        <v>4.2929515618395413E-2</v>
      </c>
      <c r="BT63" s="543">
        <f t="shared" si="51"/>
        <v>5.5552117034665789E-2</v>
      </c>
      <c r="BU63" s="543">
        <f t="shared" si="77"/>
        <v>1.627503428749974E-2</v>
      </c>
      <c r="BV63" s="543">
        <f t="shared" si="37"/>
        <v>0</v>
      </c>
      <c r="BW63" s="648">
        <f t="shared" si="78"/>
        <v>8.5679317089263837E-2</v>
      </c>
      <c r="BX63" s="470">
        <f t="shared" si="52"/>
        <v>200.43598402982477</v>
      </c>
      <c r="BY63" s="178">
        <f t="shared" si="53"/>
        <v>0.79386216790038777</v>
      </c>
      <c r="BZ63" s="6">
        <f t="shared" si="54"/>
        <v>9.0479999999999983</v>
      </c>
      <c r="CA63" s="178">
        <f t="shared" si="55"/>
        <v>0.91933821523231651</v>
      </c>
      <c r="CB63" s="6">
        <f t="shared" si="56"/>
        <v>91.933821523231657</v>
      </c>
      <c r="CC63">
        <f t="shared" si="83"/>
        <v>57.999999999999993</v>
      </c>
      <c r="CE63" s="577">
        <f t="shared" si="79"/>
        <v>-50</v>
      </c>
      <c r="CF63">
        <f t="shared" si="80"/>
        <v>-50</v>
      </c>
    </row>
    <row r="64" spans="5:84" x14ac:dyDescent="0.2">
      <c r="E64" s="175">
        <v>59</v>
      </c>
      <c r="F64" s="222">
        <f t="shared" si="84"/>
        <v>0.47199999999999998</v>
      </c>
      <c r="G64" s="222">
        <f t="shared" si="81"/>
        <v>0.29499999999999998</v>
      </c>
      <c r="H64" s="222">
        <f t="shared" si="60"/>
        <v>5.6639999999999997</v>
      </c>
      <c r="I64" s="222">
        <f t="shared" si="85"/>
        <v>3.54</v>
      </c>
      <c r="J64" s="556">
        <f t="shared" si="1"/>
        <v>13.5</v>
      </c>
      <c r="K64" s="452">
        <f t="shared" si="2"/>
        <v>12.25</v>
      </c>
      <c r="L64" s="452">
        <f t="shared" si="3"/>
        <v>25.75</v>
      </c>
      <c r="M64" s="452"/>
      <c r="N64" s="222">
        <f t="shared" si="4"/>
        <v>0.47572815533980584</v>
      </c>
      <c r="O64" s="177">
        <f t="shared" si="82"/>
        <v>7.6969156086631818</v>
      </c>
      <c r="P64" s="177">
        <f t="shared" si="61"/>
        <v>7.8171799150485421</v>
      </c>
      <c r="Q64" s="222">
        <f t="shared" si="6"/>
        <v>0.64140963405526519</v>
      </c>
      <c r="R64" s="222">
        <f t="shared" si="62"/>
        <v>0.64140963405526519</v>
      </c>
      <c r="S64" s="452">
        <f t="shared" si="63"/>
        <v>12</v>
      </c>
      <c r="T64" s="222">
        <f t="shared" si="64"/>
        <v>3.0171046664279748</v>
      </c>
      <c r="U64" s="222">
        <f t="shared" si="10"/>
        <v>1.5644246418515424</v>
      </c>
      <c r="V64" s="222">
        <f t="shared" si="11"/>
        <v>1.7240598093874142</v>
      </c>
      <c r="W64" s="202">
        <f t="shared" si="12"/>
        <v>350</v>
      </c>
      <c r="X64" s="452">
        <f t="shared" si="43"/>
        <v>304.09144845530398</v>
      </c>
      <c r="Z64" s="222">
        <f t="shared" si="13"/>
        <v>2.6213592233009715</v>
      </c>
      <c r="AA64" s="178">
        <f t="shared" si="14"/>
        <v>1.4979195561719838</v>
      </c>
      <c r="AB64" s="178">
        <f t="shared" si="65"/>
        <v>0.68715241775850722</v>
      </c>
      <c r="AC64" s="178"/>
      <c r="AD64" s="178">
        <f t="shared" si="16"/>
        <v>0.46857142857142853</v>
      </c>
      <c r="AE64" s="560">
        <f t="shared" si="66"/>
        <v>2456.8709101725171</v>
      </c>
      <c r="AF64" s="543">
        <f t="shared" si="67"/>
        <v>6.723999999999998E-2</v>
      </c>
      <c r="AH64" s="178">
        <f t="shared" si="68"/>
        <v>2.7410708469054756</v>
      </c>
      <c r="AI64" s="178">
        <f t="shared" si="69"/>
        <v>2.7410708469054756</v>
      </c>
      <c r="AJ64" s="178">
        <f t="shared" si="70"/>
        <v>2.6230154421522043</v>
      </c>
      <c r="AL64" s="560">
        <f t="shared" si="71"/>
        <v>472</v>
      </c>
      <c r="AM64" s="470">
        <f t="shared" si="72"/>
        <v>304.09144845530398</v>
      </c>
      <c r="AO64">
        <f t="shared" si="44"/>
        <v>472</v>
      </c>
      <c r="AP64">
        <f t="shared" si="24"/>
        <v>304.09144845530398</v>
      </c>
      <c r="AR64" s="6">
        <f t="shared" si="45"/>
        <v>3.2884844512389577</v>
      </c>
      <c r="AS64" s="6">
        <f t="shared" si="25"/>
        <v>1.4212959946917281</v>
      </c>
      <c r="AT64" s="6">
        <f t="shared" si="46"/>
        <v>1.8671884565472296</v>
      </c>
      <c r="AU64" s="178">
        <f t="shared" si="47"/>
        <v>0.43220395770952957</v>
      </c>
      <c r="AW64" s="6">
        <f>L*Iout^2/(2*Vripple1_spec*Vout*Npri_sec1^2)*1000000000*((1+N64)/(1-N64))^2</f>
        <v>12.324950464868163</v>
      </c>
      <c r="AX64" s="6">
        <f>L*F64^2/(2*Cout*Vout*Nps^2)*1000000000*((1+N64)/(1-N64))^2+F64*RCoutEsr</f>
        <v>12.369996400393038</v>
      </c>
      <c r="AY64" s="6">
        <f>L*Iout2^2/(2*Vripple2_spec*Vout2*Npri_sec2^2)*1000000000*((1+N64)/(1-N64))^2</f>
        <v>4.8144337753391264</v>
      </c>
      <c r="AZ64" s="6">
        <f>L*G64^2/(2*Cout2*Vout2*Npri_sec2^2)*1000000000*((1+N64)/(1-N64))^2+G64*CoutEsr2</f>
        <v>5.1639048439035298</v>
      </c>
      <c r="BA64" s="6">
        <f>(H64+I64)/Efficiency/J64*AT64/Vinripple1</f>
        <v>1.9851970317303536</v>
      </c>
      <c r="BB64" s="470">
        <f>((BZ64/J64/Efficiency)*AT64/Cin+(BZ64/J64/Efficiency)*RCinEsr)*1000</f>
        <v>136.1537820979392</v>
      </c>
      <c r="BC64" s="6"/>
      <c r="BD64" s="178">
        <f t="shared" si="48"/>
        <v>1.0404087667061683</v>
      </c>
      <c r="BE64" s="178">
        <f t="shared" si="73"/>
        <v>1.1924929325070723</v>
      </c>
      <c r="BF64" s="178">
        <f t="shared" si="74"/>
        <v>0.74530808281692007</v>
      </c>
      <c r="BG64" s="178"/>
      <c r="BH64" s="543">
        <f t="shared" si="28"/>
        <v>0.11906954420229551</v>
      </c>
      <c r="BI64" s="543">
        <f t="shared" si="29"/>
        <v>0.10731778628483946</v>
      </c>
      <c r="BJ64" s="543">
        <f t="shared" si="30"/>
        <v>1.5204572422765197E-2</v>
      </c>
      <c r="BK64" s="543">
        <f t="shared" si="31"/>
        <v>4.5367118109313868E-2</v>
      </c>
      <c r="BL64">
        <f t="shared" si="32"/>
        <v>3.9150000000000001E-3</v>
      </c>
      <c r="BM64" s="470">
        <f t="shared" si="49"/>
        <v>290.87402101921407</v>
      </c>
      <c r="BN64" s="178">
        <f t="shared" si="75"/>
        <v>0.1888</v>
      </c>
      <c r="BO64" s="178">
        <f t="shared" si="76"/>
        <v>0.11799999999999999</v>
      </c>
      <c r="BP64" s="543"/>
      <c r="BR64" s="470">
        <f t="shared" si="50"/>
        <v>306.79999999999995</v>
      </c>
      <c r="BS64" s="543">
        <f t="shared" si="35"/>
        <v>4.3298016073562005E-2</v>
      </c>
      <c r="BT64" s="543">
        <f t="shared" si="51"/>
        <v>5.6881575763172681E-2</v>
      </c>
      <c r="BU64" s="543">
        <f t="shared" si="77"/>
        <v>1.6664524149366988E-2</v>
      </c>
      <c r="BV64" s="543">
        <f t="shared" si="37"/>
        <v>0</v>
      </c>
      <c r="BW64" s="648">
        <f t="shared" si="78"/>
        <v>8.5679317089263823E-2</v>
      </c>
      <c r="BX64" s="470">
        <f t="shared" si="52"/>
        <v>202.52343307536552</v>
      </c>
      <c r="BY64" s="178">
        <f t="shared" si="53"/>
        <v>0.80019745409457954</v>
      </c>
      <c r="BZ64" s="6">
        <f t="shared" si="54"/>
        <v>9.2040000000000006</v>
      </c>
      <c r="CA64" s="178">
        <f t="shared" si="55"/>
        <v>0.92001382841888335</v>
      </c>
      <c r="CB64" s="6">
        <f t="shared" si="56"/>
        <v>92.001382841888329</v>
      </c>
      <c r="CC64">
        <f t="shared" si="83"/>
        <v>59</v>
      </c>
      <c r="CE64" s="577">
        <f t="shared" si="79"/>
        <v>-50</v>
      </c>
      <c r="CF64">
        <f t="shared" si="80"/>
        <v>-50</v>
      </c>
    </row>
    <row r="65" spans="5:84" x14ac:dyDescent="0.2">
      <c r="E65" s="175">
        <v>60</v>
      </c>
      <c r="F65" s="222">
        <f t="shared" si="84"/>
        <v>0.48</v>
      </c>
      <c r="G65" s="222">
        <f t="shared" si="81"/>
        <v>0.3</v>
      </c>
      <c r="H65" s="222">
        <f t="shared" si="60"/>
        <v>5.76</v>
      </c>
      <c r="I65" s="222">
        <f t="shared" si="85"/>
        <v>3.5999999999999996</v>
      </c>
      <c r="J65" s="556">
        <f t="shared" si="1"/>
        <v>13.5</v>
      </c>
      <c r="K65" s="452">
        <f t="shared" si="2"/>
        <v>12.25</v>
      </c>
      <c r="L65" s="452">
        <f t="shared" si="3"/>
        <v>25.75</v>
      </c>
      <c r="M65" s="452"/>
      <c r="N65" s="222">
        <f t="shared" si="4"/>
        <v>0.47572815533980584</v>
      </c>
      <c r="O65" s="177">
        <f t="shared" si="82"/>
        <v>7.6969156086631818</v>
      </c>
      <c r="P65" s="177">
        <f t="shared" si="61"/>
        <v>7.8171799150485421</v>
      </c>
      <c r="Q65" s="222">
        <f t="shared" si="6"/>
        <v>0.64140963405526519</v>
      </c>
      <c r="R65" s="222">
        <f t="shared" si="62"/>
        <v>0.64140963405526519</v>
      </c>
      <c r="S65" s="452">
        <f t="shared" si="63"/>
        <v>12</v>
      </c>
      <c r="T65" s="222">
        <f t="shared" si="64"/>
        <v>3.0682420336555674</v>
      </c>
      <c r="U65" s="222">
        <f t="shared" si="10"/>
        <v>1.590940313747331</v>
      </c>
      <c r="V65" s="222">
        <f t="shared" si="11"/>
        <v>1.7532811620888955</v>
      </c>
      <c r="W65" s="202">
        <f t="shared" si="12"/>
        <v>350</v>
      </c>
      <c r="X65" s="452">
        <f t="shared" si="43"/>
        <v>299.0232576477157</v>
      </c>
      <c r="Z65" s="222">
        <f t="shared" si="13"/>
        <v>2.6213592233009715</v>
      </c>
      <c r="AA65" s="178">
        <f t="shared" si="14"/>
        <v>1.4979195561719838</v>
      </c>
      <c r="AB65" s="178">
        <f t="shared" si="65"/>
        <v>0.68715241775850722</v>
      </c>
      <c r="AC65" s="178"/>
      <c r="AD65" s="178">
        <f t="shared" si="16"/>
        <v>0.46857142857142853</v>
      </c>
      <c r="AE65" s="560">
        <f t="shared" si="66"/>
        <v>2498.5127900059492</v>
      </c>
      <c r="AF65" s="543">
        <f t="shared" si="67"/>
        <v>6.723999999999998E-2</v>
      </c>
      <c r="AH65" s="178">
        <f t="shared" si="68"/>
        <v>2.7642026565595028</v>
      </c>
      <c r="AI65" s="178">
        <f t="shared" si="69"/>
        <v>2.7642026565595028</v>
      </c>
      <c r="AJ65" s="178">
        <f t="shared" si="70"/>
        <v>2.6401501159700023</v>
      </c>
      <c r="AL65" s="560">
        <f t="shared" si="71"/>
        <v>480</v>
      </c>
      <c r="AM65" s="470">
        <f t="shared" si="72"/>
        <v>299.0232576477157</v>
      </c>
      <c r="AO65">
        <f t="shared" si="44"/>
        <v>480</v>
      </c>
      <c r="AP65">
        <f t="shared" si="24"/>
        <v>299.0232576477157</v>
      </c>
      <c r="AR65" s="6">
        <f t="shared" si="45"/>
        <v>3.3442214758362265</v>
      </c>
      <c r="AS65" s="6">
        <f t="shared" si="25"/>
        <v>1.4332902663641867</v>
      </c>
      <c r="AT65" s="6">
        <f t="shared" si="46"/>
        <v>1.9109312094720399</v>
      </c>
      <c r="AU65" s="178">
        <f t="shared" si="47"/>
        <v>0.42858712460298126</v>
      </c>
      <c r="AW65" s="6">
        <f>L*Iout^2/(2*Vripple1_spec*Vout*Npri_sec1^2)*1000000000*((1+N65)/(1-N65))^2</f>
        <v>12.324950464868163</v>
      </c>
      <c r="AX65" s="6">
        <f>L*F65^2/(2*Cout*Vout*Nps^2)*1000000000*((1+N65)/(1-N65))^2+F65*RCoutEsr</f>
        <v>12.768465108134139</v>
      </c>
      <c r="AY65" s="6">
        <f>L*Iout2^2/(2*Vripple2_spec*Vout2*Npri_sec2^2)*1000000000*((1+N65)/(1-N65))^2</f>
        <v>4.8144337753391264</v>
      </c>
      <c r="AZ65" s="6">
        <f>L*G65^2/(2*Cout2*Vout2*Npri_sec2^2)*1000000000*((1+N65)/(1-N65))^2+G65*CoutEsr2</f>
        <v>5.3251816828648977</v>
      </c>
      <c r="BA65" s="6">
        <f>(H65+I65)/Efficiency/J65*AT65/Vinripple1</f>
        <v>2.0661400471484561</v>
      </c>
      <c r="BB65" s="470">
        <f>((BZ65/J65/Efficiency)*AT65/Cin+(BZ65/J65/Efficiency)*RCinEsr)*1000</f>
        <v>141.65392686673133</v>
      </c>
      <c r="BC65" s="6"/>
      <c r="BD65" s="178">
        <f t="shared" si="48"/>
        <v>1.0447895320760812</v>
      </c>
      <c r="BE65" s="178">
        <f t="shared" si="73"/>
        <v>1.2063803749955682</v>
      </c>
      <c r="BF65" s="178">
        <f t="shared" si="74"/>
        <v>0.75398773437222999</v>
      </c>
      <c r="BG65" s="178"/>
      <c r="BH65" s="543">
        <f t="shared" si="28"/>
        <v>0.12007436829693321</v>
      </c>
      <c r="BI65" s="543">
        <f t="shared" si="29"/>
        <v>0.1064197137072224</v>
      </c>
      <c r="BJ65" s="543">
        <f t="shared" si="30"/>
        <v>1.4951162882385785E-2</v>
      </c>
      <c r="BK65" s="543">
        <f t="shared" si="31"/>
        <v>4.4610999474158655E-2</v>
      </c>
      <c r="BL65">
        <f t="shared" si="32"/>
        <v>3.9150000000000001E-3</v>
      </c>
      <c r="BM65" s="470">
        <f t="shared" si="49"/>
        <v>289.97124436070004</v>
      </c>
      <c r="BN65" s="178">
        <f t="shared" si="75"/>
        <v>0.192</v>
      </c>
      <c r="BO65" s="178">
        <f t="shared" si="76"/>
        <v>0.12</v>
      </c>
      <c r="BP65" s="543"/>
      <c r="BR65" s="470">
        <f t="shared" si="50"/>
        <v>312</v>
      </c>
      <c r="BS65" s="543">
        <f t="shared" si="35"/>
        <v>4.3663406653430263E-2</v>
      </c>
      <c r="BT65" s="543">
        <f t="shared" si="51"/>
        <v>5.8214144366977909E-2</v>
      </c>
      <c r="BU65" s="543">
        <f t="shared" si="77"/>
        <v>1.7054925107513053E-2</v>
      </c>
      <c r="BV65" s="543">
        <f t="shared" si="37"/>
        <v>0</v>
      </c>
      <c r="BW65" s="648">
        <f t="shared" si="78"/>
        <v>8.5679317089263851E-2</v>
      </c>
      <c r="BX65" s="470">
        <f t="shared" si="52"/>
        <v>204.6117932171851</v>
      </c>
      <c r="BY65" s="178">
        <f t="shared" si="53"/>
        <v>0.80658303757788508</v>
      </c>
      <c r="BZ65" s="6">
        <f t="shared" si="54"/>
        <v>9.36</v>
      </c>
      <c r="CA65" s="178">
        <f t="shared" si="55"/>
        <v>0.92066331090823927</v>
      </c>
      <c r="CB65" s="6">
        <f t="shared" si="56"/>
        <v>92.066331090823923</v>
      </c>
      <c r="CC65">
        <f t="shared" si="83"/>
        <v>60</v>
      </c>
      <c r="CE65" s="577">
        <f t="shared" si="79"/>
        <v>-50</v>
      </c>
      <c r="CF65">
        <f t="shared" si="80"/>
        <v>-50</v>
      </c>
    </row>
    <row r="66" spans="5:84" x14ac:dyDescent="0.2">
      <c r="E66" s="175">
        <v>61</v>
      </c>
      <c r="F66" s="222">
        <f t="shared" si="84"/>
        <v>0.48799999999999999</v>
      </c>
      <c r="G66" s="222">
        <f t="shared" si="81"/>
        <v>0.30499999999999999</v>
      </c>
      <c r="H66" s="222">
        <f t="shared" si="60"/>
        <v>5.8559999999999999</v>
      </c>
      <c r="I66" s="222">
        <f t="shared" si="85"/>
        <v>3.66</v>
      </c>
      <c r="J66" s="556">
        <f t="shared" si="1"/>
        <v>13.5</v>
      </c>
      <c r="K66" s="452">
        <f t="shared" si="2"/>
        <v>12.25</v>
      </c>
      <c r="L66" s="452">
        <f t="shared" si="3"/>
        <v>25.75</v>
      </c>
      <c r="M66" s="452"/>
      <c r="N66" s="222">
        <f t="shared" si="4"/>
        <v>0.47572815533980584</v>
      </c>
      <c r="O66" s="177">
        <f t="shared" si="82"/>
        <v>7.6969156086631818</v>
      </c>
      <c r="P66" s="177">
        <f t="shared" si="61"/>
        <v>7.8171799150485421</v>
      </c>
      <c r="Q66" s="222">
        <f t="shared" si="6"/>
        <v>0.64140963405526519</v>
      </c>
      <c r="R66" s="222">
        <f t="shared" si="62"/>
        <v>0.64140963405526519</v>
      </c>
      <c r="S66" s="452">
        <f t="shared" si="63"/>
        <v>12</v>
      </c>
      <c r="T66" s="222">
        <f t="shared" si="64"/>
        <v>3.1193794008831603</v>
      </c>
      <c r="U66" s="222">
        <f t="shared" si="10"/>
        <v>1.6174559856431203</v>
      </c>
      <c r="V66" s="222">
        <f t="shared" si="11"/>
        <v>1.7825025147903772</v>
      </c>
      <c r="W66" s="202">
        <f t="shared" si="12"/>
        <v>350</v>
      </c>
      <c r="X66" s="452">
        <f t="shared" si="43"/>
        <v>294.12123703053999</v>
      </c>
      <c r="Z66" s="222">
        <f t="shared" si="13"/>
        <v>2.6213592233009715</v>
      </c>
      <c r="AA66" s="178">
        <f t="shared" si="14"/>
        <v>1.4979195561719838</v>
      </c>
      <c r="AB66" s="178">
        <f t="shared" si="65"/>
        <v>0.68715241775850722</v>
      </c>
      <c r="AC66" s="178"/>
      <c r="AD66" s="178">
        <f t="shared" si="16"/>
        <v>0.46857142857142853</v>
      </c>
      <c r="AE66" s="560">
        <f t="shared" si="66"/>
        <v>2540.1546698393818</v>
      </c>
      <c r="AF66" s="543">
        <f t="shared" si="67"/>
        <v>6.723999999999998E-2</v>
      </c>
      <c r="AH66" s="178">
        <f t="shared" si="68"/>
        <v>2.7871424910302167</v>
      </c>
      <c r="AI66" s="178">
        <f t="shared" si="69"/>
        <v>2.7871424910302167</v>
      </c>
      <c r="AJ66" s="178">
        <f t="shared" si="70"/>
        <v>2.6571425859483089</v>
      </c>
      <c r="AL66" s="560">
        <f t="shared" si="71"/>
        <v>488</v>
      </c>
      <c r="AM66" s="470">
        <f t="shared" si="72"/>
        <v>294.12123703053999</v>
      </c>
      <c r="AO66">
        <f t="shared" si="44"/>
        <v>488</v>
      </c>
      <c r="AP66">
        <f t="shared" si="24"/>
        <v>294.12123703053999</v>
      </c>
      <c r="AR66" s="6">
        <f t="shared" si="45"/>
        <v>3.3999585004334976</v>
      </c>
      <c r="AS66" s="6">
        <f t="shared" si="25"/>
        <v>1.445184995349001</v>
      </c>
      <c r="AT66" s="6">
        <f t="shared" si="46"/>
        <v>1.9547735050844965</v>
      </c>
      <c r="AU66" s="178">
        <f t="shared" si="47"/>
        <v>0.42505959857002334</v>
      </c>
      <c r="AW66" s="6">
        <f>L*Iout^2/(2*Vripple1_spec*Vout*Npri_sec1^2)*1000000000*((1+N66)/(1-N66))^2</f>
        <v>12.324950464868163</v>
      </c>
      <c r="AX66" s="6">
        <f>L*F66^2/(2*Cout*Vout*Nps^2)*1000000000*((1+N66)/(1-N66))^2+F66*RCoutEsr</f>
        <v>13.173227407601981</v>
      </c>
      <c r="AY66" s="6">
        <f>L*Iout2^2/(2*Vripple2_spec*Vout2*Npri_sec2^2)*1000000000*((1+N66)/(1-N66))^2</f>
        <v>4.8144337753391264</v>
      </c>
      <c r="AZ66" s="6">
        <f>L*G66^2/(2*Cout2*Vout2*Npri_sec2^2)*1000000000*((1+N66)/(1-N66))^2+G66*CoutEsr2</f>
        <v>5.4889169560945241</v>
      </c>
      <c r="BA66" s="6">
        <f>(H66+I66)/Efficiency/J66*AT66/Vinripple1</f>
        <v>2.1487690043328649</v>
      </c>
      <c r="BB66" s="470">
        <f>((BZ66/J66/Efficiency)*AT66/Cin+(BZ66/J66/Efficiency)*RCinEsr)*1000</f>
        <v>147.2678727047491</v>
      </c>
      <c r="BC66" s="6"/>
      <c r="BD66" s="178">
        <f t="shared" si="48"/>
        <v>1.0491158752615497</v>
      </c>
      <c r="BE66" s="178">
        <f t="shared" si="73"/>
        <v>1.2201408260427289</v>
      </c>
      <c r="BF66" s="178">
        <f t="shared" si="74"/>
        <v>0.76258801627670547</v>
      </c>
      <c r="BG66" s="178"/>
      <c r="BH66" s="543">
        <f t="shared" si="28"/>
        <v>0.12107085316983882</v>
      </c>
      <c r="BI66" s="543">
        <f t="shared" si="29"/>
        <v>0.10554381639493171</v>
      </c>
      <c r="BJ66" s="543">
        <f t="shared" si="30"/>
        <v>1.4706061851526999E-2</v>
      </c>
      <c r="BK66" s="543">
        <f t="shared" si="31"/>
        <v>4.3879671613926537E-2</v>
      </c>
      <c r="BL66">
        <f t="shared" si="32"/>
        <v>3.9150000000000001E-3</v>
      </c>
      <c r="BM66" s="470">
        <f t="shared" si="49"/>
        <v>289.11540303022412</v>
      </c>
      <c r="BN66" s="178">
        <f t="shared" si="75"/>
        <v>0.19520000000000001</v>
      </c>
      <c r="BO66" s="178">
        <f t="shared" si="76"/>
        <v>0.122</v>
      </c>
      <c r="BP66" s="543"/>
      <c r="BR66" s="470">
        <f t="shared" si="50"/>
        <v>317.20000000000005</v>
      </c>
      <c r="BS66" s="543">
        <f t="shared" si="35"/>
        <v>4.40257647890323E-2</v>
      </c>
      <c r="BT66" s="543">
        <f t="shared" si="51"/>
        <v>5.9549745415049316E-2</v>
      </c>
      <c r="BU66" s="543">
        <f t="shared" si="77"/>
        <v>1.7446214477065226E-2</v>
      </c>
      <c r="BV66" s="543">
        <f t="shared" si="37"/>
        <v>0</v>
      </c>
      <c r="BW66" s="648">
        <f t="shared" si="78"/>
        <v>8.5679317089263837E-2</v>
      </c>
      <c r="BX66" s="470">
        <f t="shared" si="52"/>
        <v>206.70104177041068</v>
      </c>
      <c r="BY66" s="178">
        <f t="shared" si="53"/>
        <v>0.81301644480063473</v>
      </c>
      <c r="BZ66" s="6">
        <f t="shared" si="54"/>
        <v>9.516</v>
      </c>
      <c r="CA66" s="178">
        <f t="shared" si="55"/>
        <v>0.92128810626399127</v>
      </c>
      <c r="CB66" s="6">
        <f t="shared" si="56"/>
        <v>92.12881062639913</v>
      </c>
      <c r="CC66">
        <f t="shared" si="83"/>
        <v>61</v>
      </c>
      <c r="CE66" s="577">
        <f t="shared" si="79"/>
        <v>-50</v>
      </c>
      <c r="CF66">
        <f t="shared" si="80"/>
        <v>-50</v>
      </c>
    </row>
    <row r="67" spans="5:84" x14ac:dyDescent="0.2">
      <c r="E67" s="175">
        <v>62</v>
      </c>
      <c r="F67" s="222">
        <f t="shared" si="84"/>
        <v>0.496</v>
      </c>
      <c r="G67" s="222">
        <f t="shared" si="81"/>
        <v>0.31</v>
      </c>
      <c r="H67" s="222">
        <f t="shared" si="60"/>
        <v>5.952</v>
      </c>
      <c r="I67" s="222">
        <f t="shared" si="85"/>
        <v>3.7199999999999998</v>
      </c>
      <c r="J67" s="556">
        <f t="shared" si="1"/>
        <v>13.5</v>
      </c>
      <c r="K67" s="452">
        <f t="shared" si="2"/>
        <v>12.25</v>
      </c>
      <c r="L67" s="452">
        <f t="shared" si="3"/>
        <v>25.75</v>
      </c>
      <c r="M67" s="452"/>
      <c r="N67" s="222">
        <f t="shared" si="4"/>
        <v>0.47572815533980584</v>
      </c>
      <c r="O67" s="177">
        <f t="shared" si="82"/>
        <v>7.6969156086631818</v>
      </c>
      <c r="P67" s="177">
        <f t="shared" si="61"/>
        <v>7.8171799150485421</v>
      </c>
      <c r="Q67" s="222">
        <f t="shared" si="6"/>
        <v>0.64140963405526519</v>
      </c>
      <c r="R67" s="222">
        <f t="shared" si="62"/>
        <v>0.64140963405526519</v>
      </c>
      <c r="S67" s="452">
        <f t="shared" si="63"/>
        <v>12</v>
      </c>
      <c r="T67" s="222">
        <f t="shared" si="64"/>
        <v>3.1705167681107533</v>
      </c>
      <c r="U67" s="222">
        <f t="shared" si="10"/>
        <v>1.6439716575389092</v>
      </c>
      <c r="V67" s="222">
        <f t="shared" si="11"/>
        <v>1.811723867491859</v>
      </c>
      <c r="W67" s="202">
        <f t="shared" si="12"/>
        <v>350</v>
      </c>
      <c r="X67" s="452">
        <f t="shared" si="43"/>
        <v>289.37734611069254</v>
      </c>
      <c r="Z67" s="222">
        <f t="shared" si="13"/>
        <v>2.6213592233009715</v>
      </c>
      <c r="AA67" s="178">
        <f t="shared" si="14"/>
        <v>1.4979195561719838</v>
      </c>
      <c r="AB67" s="178">
        <f t="shared" si="65"/>
        <v>0.68715241775850722</v>
      </c>
      <c r="AC67" s="178"/>
      <c r="AD67" s="178">
        <f t="shared" si="16"/>
        <v>0.46857142857142853</v>
      </c>
      <c r="AE67" s="560">
        <f t="shared" si="66"/>
        <v>2581.7965496728143</v>
      </c>
      <c r="AF67" s="543">
        <f t="shared" si="67"/>
        <v>6.723999999999998E-2</v>
      </c>
      <c r="AH67" s="178">
        <f t="shared" si="68"/>
        <v>2.8098950521472563</v>
      </c>
      <c r="AI67" s="178">
        <f t="shared" si="69"/>
        <v>2.8098950521472563</v>
      </c>
      <c r="AJ67" s="178">
        <f t="shared" si="70"/>
        <v>2.6739963349238938</v>
      </c>
      <c r="AL67" s="560">
        <f t="shared" si="71"/>
        <v>496</v>
      </c>
      <c r="AM67" s="470">
        <f t="shared" si="72"/>
        <v>289.37734611069254</v>
      </c>
      <c r="AO67">
        <f t="shared" si="44"/>
        <v>496</v>
      </c>
      <c r="AP67">
        <f t="shared" si="24"/>
        <v>289.37734611069254</v>
      </c>
      <c r="AR67" s="6">
        <f t="shared" si="45"/>
        <v>3.4556955250307682</v>
      </c>
      <c r="AS67" s="6">
        <f t="shared" si="25"/>
        <v>1.4569826196319107</v>
      </c>
      <c r="AT67" s="6">
        <f t="shared" si="46"/>
        <v>1.9987129053988575</v>
      </c>
      <c r="AU67" s="178">
        <f t="shared" si="47"/>
        <v>0.42161776379848692</v>
      </c>
      <c r="AW67" s="6">
        <f>L*Iout^2/(2*Vripple1_spec*Vout*Npri_sec1^2)*1000000000*((1+N67)/(1-N67))^2</f>
        <v>12.324950464868163</v>
      </c>
      <c r="AX67" s="6">
        <f>L*F67^2/(2*Cout*Vout*Nps^2)*1000000000*((1+N67)/(1-N67))^2+F67*RCoutEsr</f>
        <v>13.584283298796564</v>
      </c>
      <c r="AY67" s="6">
        <f>L*Iout2^2/(2*Vripple2_spec*Vout2*Npri_sec2^2)*1000000000*((1+N67)/(1-N67))^2</f>
        <v>4.8144337753391264</v>
      </c>
      <c r="AZ67" s="6">
        <f>L*G67^2/(2*Cout2*Vout2*Npri_sec2^2)*1000000000*((1+N67)/(1-N67))^2+G67*CoutEsr2</f>
        <v>5.6551106635924082</v>
      </c>
      <c r="BA67" s="6">
        <f>(H67+I67)/Efficiency/J67*AT67/Vinripple1</f>
        <v>2.2330865607991046</v>
      </c>
      <c r="BB67" s="470">
        <f>((BZ67/J67/Efficiency)*AT67/Cin+(BZ67/J67/Efficiency)*RCinEsr)*1000</f>
        <v>152.99579899429045</v>
      </c>
      <c r="BC67" s="6"/>
      <c r="BD67" s="178">
        <f t="shared" si="48"/>
        <v>1.0533893481350305</v>
      </c>
      <c r="BE67" s="178">
        <f t="shared" si="73"/>
        <v>1.2337777822320894</v>
      </c>
      <c r="BF67" s="178">
        <f t="shared" si="74"/>
        <v>0.77111111389505582</v>
      </c>
      <c r="BG67" s="178"/>
      <c r="BH67" s="543">
        <f t="shared" si="28"/>
        <v>0.1220592030640779</v>
      </c>
      <c r="BI67" s="543">
        <f t="shared" si="29"/>
        <v>0.10468919652889215</v>
      </c>
      <c r="BJ67" s="543">
        <f t="shared" si="30"/>
        <v>1.4468867305534625E-2</v>
      </c>
      <c r="BK67" s="543">
        <f t="shared" si="31"/>
        <v>4.3171934974992242E-2</v>
      </c>
      <c r="BL67">
        <f t="shared" si="32"/>
        <v>3.9150000000000001E-3</v>
      </c>
      <c r="BM67" s="470">
        <f t="shared" si="49"/>
        <v>288.30420187349694</v>
      </c>
      <c r="BN67" s="178">
        <f t="shared" si="75"/>
        <v>0.19840000000000002</v>
      </c>
      <c r="BO67" s="178">
        <f t="shared" si="76"/>
        <v>0.124</v>
      </c>
      <c r="BP67" s="543"/>
      <c r="BR67" s="470">
        <f t="shared" si="50"/>
        <v>322.40000000000003</v>
      </c>
      <c r="BS67" s="543">
        <f t="shared" si="35"/>
        <v>4.4385164750573781E-2</v>
      </c>
      <c r="BT67" s="543">
        <f t="shared" si="51"/>
        <v>6.0888304637181333E-2</v>
      </c>
      <c r="BU67" s="543">
        <f t="shared" si="77"/>
        <v>1.7838370499174212E-2</v>
      </c>
      <c r="BV67" s="543">
        <f t="shared" si="37"/>
        <v>0</v>
      </c>
      <c r="BW67" s="648">
        <f t="shared" si="78"/>
        <v>8.5679317089263837E-2</v>
      </c>
      <c r="BX67" s="470">
        <f t="shared" si="52"/>
        <v>208.79115697619315</v>
      </c>
      <c r="BY67" s="178">
        <f t="shared" si="53"/>
        <v>0.81949535884969005</v>
      </c>
      <c r="BZ67" s="6">
        <f t="shared" si="54"/>
        <v>9.6720000000000006</v>
      </c>
      <c r="CA67" s="178">
        <f t="shared" si="55"/>
        <v>0.92188955617671453</v>
      </c>
      <c r="CB67" s="6">
        <f t="shared" si="56"/>
        <v>92.188955617671454</v>
      </c>
      <c r="CC67">
        <f t="shared" si="83"/>
        <v>62</v>
      </c>
      <c r="CE67" s="577">
        <f t="shared" si="79"/>
        <v>-50</v>
      </c>
      <c r="CF67">
        <f t="shared" si="80"/>
        <v>-50</v>
      </c>
    </row>
    <row r="68" spans="5:84" x14ac:dyDescent="0.2">
      <c r="E68" s="175">
        <v>63</v>
      </c>
      <c r="F68" s="222">
        <f t="shared" si="84"/>
        <v>0.504</v>
      </c>
      <c r="G68" s="222">
        <f t="shared" si="81"/>
        <v>0.315</v>
      </c>
      <c r="H68" s="222">
        <f t="shared" si="60"/>
        <v>6.048</v>
      </c>
      <c r="I68" s="222">
        <f t="shared" si="85"/>
        <v>3.7800000000000002</v>
      </c>
      <c r="J68" s="556">
        <f t="shared" si="1"/>
        <v>13.5</v>
      </c>
      <c r="K68" s="452">
        <f t="shared" si="2"/>
        <v>12.25</v>
      </c>
      <c r="L68" s="452">
        <f t="shared" si="3"/>
        <v>25.75</v>
      </c>
      <c r="M68" s="452"/>
      <c r="N68" s="222">
        <f t="shared" si="4"/>
        <v>0.47572815533980584</v>
      </c>
      <c r="O68" s="177">
        <f t="shared" si="82"/>
        <v>7.6969156086631818</v>
      </c>
      <c r="P68" s="177">
        <f t="shared" si="61"/>
        <v>7.8171799150485421</v>
      </c>
      <c r="Q68" s="222">
        <f t="shared" si="6"/>
        <v>0.64140963405526519</v>
      </c>
      <c r="R68" s="222">
        <f t="shared" si="62"/>
        <v>0.64140963405526519</v>
      </c>
      <c r="S68" s="452">
        <f t="shared" si="63"/>
        <v>12</v>
      </c>
      <c r="T68" s="222">
        <f t="shared" si="64"/>
        <v>3.2216541353383454</v>
      </c>
      <c r="U68" s="222">
        <f t="shared" si="10"/>
        <v>1.6704873294346976</v>
      </c>
      <c r="V68" s="222">
        <f t="shared" si="11"/>
        <v>1.8409452201933401</v>
      </c>
      <c r="W68" s="202">
        <f t="shared" si="12"/>
        <v>350</v>
      </c>
      <c r="X68" s="452">
        <f t="shared" si="43"/>
        <v>284.78405490258638</v>
      </c>
      <c r="Z68" s="222">
        <f t="shared" si="13"/>
        <v>2.6213592233009715</v>
      </c>
      <c r="AA68" s="178">
        <f t="shared" si="14"/>
        <v>1.4979195561719838</v>
      </c>
      <c r="AB68" s="178">
        <f t="shared" si="65"/>
        <v>0.68715241775850722</v>
      </c>
      <c r="AC68" s="178"/>
      <c r="AD68" s="178">
        <f t="shared" si="16"/>
        <v>0.46857142857142853</v>
      </c>
      <c r="AE68" s="560">
        <f t="shared" si="66"/>
        <v>2623.4384295062468</v>
      </c>
      <c r="AF68" s="543">
        <f t="shared" si="67"/>
        <v>6.723999999999998E-2</v>
      </c>
      <c r="AH68" s="178">
        <f t="shared" si="68"/>
        <v>2.8324648528899949</v>
      </c>
      <c r="AI68" s="178">
        <f t="shared" si="69"/>
        <v>2.8324648528899949</v>
      </c>
      <c r="AJ68" s="178">
        <f t="shared" si="70"/>
        <v>2.6907147058444405</v>
      </c>
      <c r="AL68" s="560">
        <f t="shared" si="71"/>
        <v>504</v>
      </c>
      <c r="AM68" s="470">
        <f t="shared" si="72"/>
        <v>284.78405490258638</v>
      </c>
      <c r="AO68">
        <f t="shared" si="44"/>
        <v>504</v>
      </c>
      <c r="AP68">
        <f t="shared" si="24"/>
        <v>284.78405490258638</v>
      </c>
      <c r="AR68" s="6">
        <f t="shared" si="45"/>
        <v>3.5114325496280379</v>
      </c>
      <c r="AS68" s="6">
        <f t="shared" si="25"/>
        <v>1.4686854792762936</v>
      </c>
      <c r="AT68" s="6">
        <f t="shared" si="46"/>
        <v>2.0427470703517443</v>
      </c>
      <c r="AU68" s="178">
        <f t="shared" si="47"/>
        <v>0.41825820616485138</v>
      </c>
      <c r="AW68" s="6">
        <f>L*Iout^2/(2*Vripple1_spec*Vout*Npri_sec1^2)*1000000000*((1+N68)/(1-N68))^2</f>
        <v>12.324950464868163</v>
      </c>
      <c r="AX68" s="6">
        <f>L*F68^2/(2*Cout*Vout*Nps^2)*1000000000*((1+N68)/(1-N68))^2+F68*RCoutEsr</f>
        <v>14.001632781717891</v>
      </c>
      <c r="AY68" s="6">
        <f>L*Iout2^2/(2*Vripple2_spec*Vout2*Npri_sec2^2)*1000000000*((1+N68)/(1-N68))^2</f>
        <v>4.8144337753391264</v>
      </c>
      <c r="AZ68" s="6">
        <f>L*G68^2/(2*Cout2*Vout2*Npri_sec2^2)*1000000000*((1+N68)/(1-N68))^2+G68*CoutEsr2</f>
        <v>5.82376280535855</v>
      </c>
      <c r="BA68" s="6">
        <f>(H68+I68)/Efficiency/J68*AT68/Vinripple1</f>
        <v>2.3190953094987443</v>
      </c>
      <c r="BB68" s="470">
        <f>((BZ68/J68/Efficiency)*AT68/Cin+(BZ68/J68/Efficiency)*RCinEsr)*1000</f>
        <v>158.83788075958628</v>
      </c>
      <c r="BC68" s="6"/>
      <c r="BD68" s="178">
        <f t="shared" si="48"/>
        <v>1.0576114341427247</v>
      </c>
      <c r="BE68" s="178">
        <f t="shared" si="73"/>
        <v>1.2472945797430062</v>
      </c>
      <c r="BF68" s="178">
        <f t="shared" si="74"/>
        <v>0.77955911233937869</v>
      </c>
      <c r="BG68" s="178"/>
      <c r="BH68" s="543">
        <f t="shared" si="28"/>
        <v>0.12303961401923741</v>
      </c>
      <c r="BI68" s="543">
        <f t="shared" si="29"/>
        <v>0.10385500637004035</v>
      </c>
      <c r="BJ68" s="543">
        <f t="shared" si="30"/>
        <v>1.4239202745129319E-2</v>
      </c>
      <c r="BK68" s="543">
        <f t="shared" si="31"/>
        <v>4.248666616586539E-2</v>
      </c>
      <c r="BL68">
        <f t="shared" si="32"/>
        <v>3.9150000000000001E-3</v>
      </c>
      <c r="BM68" s="470">
        <f t="shared" si="49"/>
        <v>287.5354893002725</v>
      </c>
      <c r="BN68" s="178">
        <f t="shared" si="75"/>
        <v>0.2016</v>
      </c>
      <c r="BO68" s="178">
        <f t="shared" si="76"/>
        <v>0.126</v>
      </c>
      <c r="BP68" s="543"/>
      <c r="BR68" s="470">
        <f t="shared" si="50"/>
        <v>327.60000000000002</v>
      </c>
      <c r="BS68" s="543">
        <f t="shared" si="35"/>
        <v>4.474167782517724E-2</v>
      </c>
      <c r="BT68" s="543">
        <f t="shared" si="51"/>
        <v>6.222975074625129E-2</v>
      </c>
      <c r="BU68" s="543">
        <f t="shared" si="77"/>
        <v>1.8231372288940801E-2</v>
      </c>
      <c r="BV68" s="543">
        <f t="shared" si="37"/>
        <v>0</v>
      </c>
      <c r="BW68" s="648">
        <f t="shared" si="78"/>
        <v>8.5679317089263837E-2</v>
      </c>
      <c r="BX68" s="470">
        <f t="shared" si="52"/>
        <v>210.8821179496332</v>
      </c>
      <c r="BY68" s="178">
        <f t="shared" si="53"/>
        <v>0.82601760724990558</v>
      </c>
      <c r="BZ68" s="6">
        <f t="shared" si="54"/>
        <v>9.8279999999999994</v>
      </c>
      <c r="CA68" s="178">
        <f t="shared" si="55"/>
        <v>0.92246890912890811</v>
      </c>
      <c r="CB68" s="6">
        <f t="shared" si="56"/>
        <v>92.246890912890805</v>
      </c>
      <c r="CC68">
        <f t="shared" si="83"/>
        <v>63</v>
      </c>
      <c r="CE68" s="577">
        <f t="shared" si="79"/>
        <v>-50</v>
      </c>
      <c r="CF68">
        <f t="shared" si="80"/>
        <v>-50</v>
      </c>
    </row>
    <row r="69" spans="5:84" x14ac:dyDescent="0.2">
      <c r="E69" s="175">
        <v>64</v>
      </c>
      <c r="F69" s="222">
        <f t="shared" si="84"/>
        <v>0.51200000000000001</v>
      </c>
      <c r="G69" s="222">
        <f t="shared" si="81"/>
        <v>0.32</v>
      </c>
      <c r="H69" s="222">
        <f t="shared" ref="H69:H105" si="86">F69*Vout</f>
        <v>6.1440000000000001</v>
      </c>
      <c r="I69" s="222">
        <f t="shared" si="85"/>
        <v>3.84</v>
      </c>
      <c r="J69" s="556">
        <f t="shared" ref="J69:J105" si="87">Vin</f>
        <v>13.5</v>
      </c>
      <c r="K69" s="452">
        <f t="shared" ref="K69:K105" si="88">(S69+Vfwd1)*Nps</f>
        <v>12.25</v>
      </c>
      <c r="L69" s="452">
        <f t="shared" ref="L69:L105" si="89">(Vout+Vfwd1)*Nps+J69</f>
        <v>25.75</v>
      </c>
      <c r="M69" s="452"/>
      <c r="N69" s="222">
        <f t="shared" ref="N69:N105" si="90">(Vout+Vfwd1)*Nps/((Vout+Vfwd1)*Nps+J69)</f>
        <v>0.47572815533980584</v>
      </c>
      <c r="O69" s="177">
        <f t="shared" si="82"/>
        <v>7.6969156086631818</v>
      </c>
      <c r="P69" s="177">
        <f t="shared" ref="P69:P105" si="91">N69*J69*Isw_max*0.5*Efficiency*(Pout2/Pout_total)</f>
        <v>7.8171799150485421</v>
      </c>
      <c r="Q69" s="222">
        <f t="shared" ref="Q69:Q105" si="92">O69/Vout</f>
        <v>0.64140963405526519</v>
      </c>
      <c r="R69" s="222">
        <f t="shared" ref="R69:R105" si="93">O69/Vout2</f>
        <v>0.64140963405526519</v>
      </c>
      <c r="S69" s="452">
        <f t="shared" ref="S69:S105" si="94">MIN(Vout,O69/F69)</f>
        <v>12</v>
      </c>
      <c r="T69" s="222">
        <f t="shared" ref="T69:T105" si="95">MIN(2*(Vout*F69+Vout2*G69)/(Efficiency*J69*N69), Isw_max)</f>
        <v>3.2727915025659384</v>
      </c>
      <c r="U69" s="222">
        <f t="shared" ref="U69:U105" si="96">L*T69/J69*1000000</f>
        <v>1.6970030013304866</v>
      </c>
      <c r="V69" s="222">
        <f t="shared" ref="V69:V105" si="97">L*T69/K69*1000000</f>
        <v>1.870166572894822</v>
      </c>
      <c r="W69" s="202">
        <f t="shared" ref="W69:W105" si="98">IF(1/((350000*L)*(1/J69+1/K69))&gt;Isw_min, 350, 0.001/((Isw_min*L)*(1/J69+1/K69)))</f>
        <v>350</v>
      </c>
      <c r="X69" s="452">
        <f t="shared" si="43"/>
        <v>280.33430404473341</v>
      </c>
      <c r="Z69" s="222">
        <f t="shared" ref="Z69:Z105" si="99">1/((W69*1000*L)*(1/J69+1/K69))</f>
        <v>2.6213592233009715</v>
      </c>
      <c r="AA69" s="178">
        <f t="shared" ref="AA69:AA105" si="100">L*Z69/K69*1000000</f>
        <v>1.4979195561719838</v>
      </c>
      <c r="AB69" s="178">
        <f t="shared" ref="AB69:AB100" si="101">0.5*AA69*Z69*Nps*W69/1000*(Pout/Pout_total)</f>
        <v>0.68715241775850722</v>
      </c>
      <c r="AC69" s="178"/>
      <c r="AD69" s="178">
        <f t="shared" ref="AD69:AD105" si="102">L*Isw_min/K69*1000000</f>
        <v>0.46857142857142853</v>
      </c>
      <c r="AE69" s="560">
        <f t="shared" ref="AE69:AE100" si="103">MAX(10, F69/(0.5*AD69/1000000*Isw_min*Nps)/1000*Pout_total/Pout)</f>
        <v>2665.0803093396794</v>
      </c>
      <c r="AF69" s="543">
        <f t="shared" ref="AF69:AF105" si="104">0.5*AD69/1000000*Isw_min*Nps*W69*1000*(Pout/Pout_total)</f>
        <v>6.723999999999998E-2</v>
      </c>
      <c r="AH69" s="178">
        <f t="shared" ref="AH69:AH105" si="105">SQRT((H69+I69)/(0.5*L*Fsw_DCM))</f>
        <v>2.8548562278392677</v>
      </c>
      <c r="AI69" s="178">
        <f t="shared" ref="AI69:AI100" si="106">MAX(IF(F69&gt;AB69,T69,AH69),Isw_min)</f>
        <v>2.8548562278392677</v>
      </c>
      <c r="AJ69" s="178">
        <f t="shared" ref="AJ69:AJ100" si="107">IF(F69&gt;AF69, (AI69-Isw_min)/1.08*0.8+1.2, AE69*0.2/350+1)</f>
        <v>2.7073009095105691</v>
      </c>
      <c r="AL69" s="560">
        <f t="shared" ref="AL69:AL105" si="108">F69*1000</f>
        <v>512</v>
      </c>
      <c r="AM69" s="470">
        <f t="shared" ref="AM69:AM105" si="109">IF(F69&gt;AF69, X69, AE69)</f>
        <v>280.33430404473341</v>
      </c>
      <c r="AO69">
        <f t="shared" si="44"/>
        <v>512</v>
      </c>
      <c r="AP69">
        <f t="shared" ref="AP69:AP105" si="110">IF(H69&gt;O69, "",AM69)</f>
        <v>280.33430404473341</v>
      </c>
      <c r="AR69" s="6">
        <f t="shared" si="45"/>
        <v>3.5671695742253089</v>
      </c>
      <c r="AS69" s="6">
        <f t="shared" ref="AS69:AS105" si="111">L*AI69/J69*1000000</f>
        <v>1.480295821842583</v>
      </c>
      <c r="AT69" s="6">
        <f t="shared" si="46"/>
        <v>2.0868737523827257</v>
      </c>
      <c r="AU69" s="178">
        <f t="shared" si="47"/>
        <v>0.41497769899656722</v>
      </c>
      <c r="AW69" s="6">
        <f>L*Iout^2/(2*Vripple1_spec*Vout*Npri_sec1^2)*1000000000*((1+N69)/(1-N69))^2</f>
        <v>12.324950464868163</v>
      </c>
      <c r="AX69" s="6">
        <f>L*F69^2/(2*Cout*Vout*Nps^2)*1000000000*((1+N69)/(1-N69))^2+F69*RCoutEsr</f>
        <v>14.425275856365953</v>
      </c>
      <c r="AY69" s="6">
        <f>L*Iout2^2/(2*Vripple2_spec*Vout2*Npri_sec2^2)*1000000000*((1+N69)/(1-N69))^2</f>
        <v>4.8144337753391264</v>
      </c>
      <c r="AZ69" s="6">
        <f>L*G69^2/(2*Cout2*Vout2*Npri_sec2^2)*1000000000*((1+N69)/(1-N69))^2+G69*CoutEsr2</f>
        <v>5.994873381392952</v>
      </c>
      <c r="BA69" s="6">
        <f>(H69+I69)/Efficiency/J69*AT69/Vinripple1</f>
        <v>2.4067977813921457</v>
      </c>
      <c r="BB69" s="470">
        <f>((BZ69/J69/Efficiency)*AT69/Cin+(BZ69/J69/Efficiency)*RCinEsr)*1000</f>
        <v>164.79428884046106</v>
      </c>
      <c r="BC69" s="6"/>
      <c r="BD69" s="178">
        <f t="shared" si="48"/>
        <v>1.061783552353986</v>
      </c>
      <c r="BE69" s="178">
        <f t="shared" ref="BE69:BE105" si="112">AI69*Npri_sec1*SQRT((1-AU69)/3)*(Pout/Pout_total)</f>
        <v>1.2606944046152111</v>
      </c>
      <c r="BF69" s="178">
        <f t="shared" ref="BF69:BF105" si="113">AI69*Npri_sec2*SQRT((1-AU69)/3)*(Pout2/Pout_total)</f>
        <v>0.78793400288450677</v>
      </c>
      <c r="BG69" s="178"/>
      <c r="BH69" s="543">
        <f t="shared" ref="BH69:BH105" si="114">Rdson*BD69^2</f>
        <v>0.12401227432543947</v>
      </c>
      <c r="BI69" s="543">
        <f t="shared" ref="BI69:BI105" si="115">0.5*L69*AI69*AM69*1000*Trise</f>
        <v>0.10304044472405835</v>
      </c>
      <c r="BJ69" s="543">
        <f t="shared" ref="BJ69:BJ105" si="116">Qg*Vdd*AM69*1000</f>
        <v>1.4016715202236671E-2</v>
      </c>
      <c r="BK69" s="543">
        <f t="shared" ref="BK69:BK105" si="117">0.5*(Coss+Csw)*L69^2*AM69*1000</f>
        <v>4.1822812007023737E-2</v>
      </c>
      <c r="BL69">
        <f t="shared" ref="BL69:BL105" si="118">J69*IQ</f>
        <v>3.9150000000000001E-3</v>
      </c>
      <c r="BM69" s="470">
        <f t="shared" si="49"/>
        <v>286.80724625875825</v>
      </c>
      <c r="BN69" s="178">
        <f t="shared" ref="BN69:BN105" si="119">Vfwd2*F69</f>
        <v>0.20480000000000001</v>
      </c>
      <c r="BO69" s="178">
        <f t="shared" ref="BO69:BO105" si="120">Vfwd2*G69</f>
        <v>0.128</v>
      </c>
      <c r="BP69" s="543"/>
      <c r="BR69" s="470">
        <f t="shared" si="50"/>
        <v>332.8</v>
      </c>
      <c r="BS69" s="543">
        <f t="shared" ref="BS69:BS105" si="121">Rdcr_pri*BD69^2</f>
        <v>4.5095372481977994E-2</v>
      </c>
      <c r="BT69" s="543">
        <f t="shared" ref="BT69:BT105" si="122">Rdcr_sec*BE69^2</f>
        <v>6.3574015273124063E-2</v>
      </c>
      <c r="BU69" s="543">
        <f t="shared" ref="BU69:BU105" si="123">Rdcr_sec2*BF69^2</f>
        <v>1.8625199787048057E-2</v>
      </c>
      <c r="BV69" s="543">
        <f t="shared" ref="BV69:BV105" si="124">AI69^2.5*AM69^2.5*k_core</f>
        <v>0</v>
      </c>
      <c r="BW69" s="648">
        <f t="shared" ref="BW69:BW105" si="125">0.5*Lleak*0.000000001*AI69^2*AM69*1000</f>
        <v>8.5679317089263851E-2</v>
      </c>
      <c r="BX69" s="470">
        <f t="shared" si="52"/>
        <v>212.97390463141397</v>
      </c>
      <c r="BY69" s="178">
        <f t="shared" si="53"/>
        <v>0.83258115089017237</v>
      </c>
      <c r="BZ69" s="6">
        <f t="shared" si="54"/>
        <v>9.984</v>
      </c>
      <c r="CA69" s="178">
        <f t="shared" si="55"/>
        <v>0.92302732820326938</v>
      </c>
      <c r="CB69" s="6">
        <f t="shared" si="56"/>
        <v>92.302732820326938</v>
      </c>
      <c r="CC69">
        <f t="shared" si="83"/>
        <v>64</v>
      </c>
      <c r="CE69" s="577">
        <f t="shared" ref="CE69:CE105" si="126">IF(ABS(F69-Ioutmax_Vinnom)&lt;Iout/200, AM69, -50)</f>
        <v>-50</v>
      </c>
      <c r="CF69">
        <f t="shared" ref="CF69:CF105" si="127">IF(ABS(F69-Ioutmax_Vinnom)&lt;Iout/200, (O69+P69)*CA69, -50)</f>
        <v>-50</v>
      </c>
    </row>
    <row r="70" spans="5:84" x14ac:dyDescent="0.2">
      <c r="E70" s="175">
        <v>65</v>
      </c>
      <c r="F70" s="222">
        <f t="shared" si="84"/>
        <v>0.52</v>
      </c>
      <c r="G70" s="222">
        <f t="shared" ref="G70:G105" si="128">IF(PLOT_TYPE=1, E70/100*Iout2, min_I*EXP(Q70*rr/100))</f>
        <v>0.32500000000000001</v>
      </c>
      <c r="H70" s="222">
        <f t="shared" si="86"/>
        <v>6.24</v>
      </c>
      <c r="I70" s="222">
        <f t="shared" si="85"/>
        <v>3.9000000000000004</v>
      </c>
      <c r="J70" s="556">
        <f t="shared" si="87"/>
        <v>13.5</v>
      </c>
      <c r="K70" s="452">
        <f t="shared" si="88"/>
        <v>12.25</v>
      </c>
      <c r="L70" s="452">
        <f t="shared" si="89"/>
        <v>25.75</v>
      </c>
      <c r="M70" s="452"/>
      <c r="N70" s="222">
        <f t="shared" si="90"/>
        <v>0.47572815533980584</v>
      </c>
      <c r="O70" s="177">
        <f t="shared" ref="O70:O101" si="129">N70*J70*Isw_max*0.5*Efficiency*Pout/(Pout+Pout2)</f>
        <v>7.6969156086631818</v>
      </c>
      <c r="P70" s="177">
        <f t="shared" si="91"/>
        <v>7.8171799150485421</v>
      </c>
      <c r="Q70" s="222">
        <f t="shared" si="92"/>
        <v>0.64140963405526519</v>
      </c>
      <c r="R70" s="222">
        <f t="shared" si="93"/>
        <v>0.64140963405526519</v>
      </c>
      <c r="S70" s="452">
        <f t="shared" si="94"/>
        <v>12</v>
      </c>
      <c r="T70" s="222">
        <f t="shared" si="95"/>
        <v>3.3239288697935314</v>
      </c>
      <c r="U70" s="222">
        <f t="shared" si="96"/>
        <v>1.7235186732262755</v>
      </c>
      <c r="V70" s="222">
        <f t="shared" si="97"/>
        <v>1.8993879255963038</v>
      </c>
      <c r="W70" s="202">
        <f t="shared" si="98"/>
        <v>350</v>
      </c>
      <c r="X70" s="452">
        <f t="shared" ref="X70:X105" si="130">MIN(1/(U70+V70)*1000, 350)</f>
        <v>276.02146859789133</v>
      </c>
      <c r="Z70" s="222">
        <f t="shared" si="99"/>
        <v>2.6213592233009715</v>
      </c>
      <c r="AA70" s="178">
        <f t="shared" si="100"/>
        <v>1.4979195561719838</v>
      </c>
      <c r="AB70" s="178">
        <f t="shared" si="101"/>
        <v>0.68715241775850722</v>
      </c>
      <c r="AC70" s="178"/>
      <c r="AD70" s="178">
        <f t="shared" si="102"/>
        <v>0.46857142857142853</v>
      </c>
      <c r="AE70" s="560">
        <f t="shared" si="103"/>
        <v>2706.7221891731115</v>
      </c>
      <c r="AF70" s="543">
        <f t="shared" si="104"/>
        <v>6.723999999999998E-2</v>
      </c>
      <c r="AH70" s="178">
        <f t="shared" si="105"/>
        <v>2.8770733428969382</v>
      </c>
      <c r="AI70" s="178">
        <f t="shared" si="106"/>
        <v>2.8770733428969382</v>
      </c>
      <c r="AJ70" s="178">
        <f t="shared" si="107"/>
        <v>2.7237580317755099</v>
      </c>
      <c r="AL70" s="560">
        <f t="shared" si="108"/>
        <v>520</v>
      </c>
      <c r="AM70" s="470">
        <f t="shared" si="109"/>
        <v>276.02146859789133</v>
      </c>
      <c r="AO70">
        <f t="shared" ref="AO70:AO105" si="131">IF(H70&gt;O70, "",AL70)</f>
        <v>520</v>
      </c>
      <c r="AP70">
        <f t="shared" si="110"/>
        <v>276.02146859789133</v>
      </c>
      <c r="AR70" s="6">
        <f t="shared" ref="AR70:AR133" si="132">1/AM70*1000</f>
        <v>3.6229065988225799</v>
      </c>
      <c r="AS70" s="6">
        <f t="shared" si="111"/>
        <v>1.4918158074280421</v>
      </c>
      <c r="AT70" s="6">
        <f t="shared" ref="AT70:AT105" si="133">AR70-AS70</f>
        <v>2.1310907913945378</v>
      </c>
      <c r="AU70" s="178">
        <f t="shared" ref="AU70:AU105" si="134">AS70/AR70</f>
        <v>0.41177319004383722</v>
      </c>
      <c r="AW70" s="6">
        <f>L*Iout^2/(2*Vripple1_spec*Vout*Npri_sec1^2)*1000000000*((1+N70)/(1-N70))^2</f>
        <v>12.324950464868163</v>
      </c>
      <c r="AX70" s="6">
        <f>L*F70^2/(2*Cout*Vout*Nps^2)*1000000000*((1+N70)/(1-N70))^2+F70*RCoutEsr</f>
        <v>14.855212522740763</v>
      </c>
      <c r="AY70" s="6">
        <f>L*Iout2^2/(2*Vripple2_spec*Vout2*Npri_sec2^2)*1000000000*((1+N70)/(1-N70))^2</f>
        <v>4.8144337753391264</v>
      </c>
      <c r="AZ70" s="6">
        <f>L*G70^2/(2*Cout2*Vout2*Npri_sec2^2)*1000000000*((1+N70)/(1-N70))^2+G70*CoutEsr2</f>
        <v>6.1684423916956099</v>
      </c>
      <c r="BA70" s="6">
        <f>(H70+I70)/Efficiency/J70*AT70/Vinripple1</f>
        <v>2.4961964478799348</v>
      </c>
      <c r="BB70" s="470">
        <f>((BZ70/J70/Efficiency)*AT70/Cin+(BZ70/J70/Efficiency)*RCinEsr)*1000</f>
        <v>170.86519005645707</v>
      </c>
      <c r="BC70" s="6"/>
      <c r="BD70" s="178">
        <f t="shared" ref="BD70:BD105" si="135">AI70*SQRT(AU70/3)</f>
        <v>1.0659070612118879</v>
      </c>
      <c r="BE70" s="178">
        <f t="shared" si="112"/>
        <v>1.2739803021742622</v>
      </c>
      <c r="BF70" s="178">
        <f t="shared" si="113"/>
        <v>0.79623768885891366</v>
      </c>
      <c r="BG70" s="178"/>
      <c r="BH70" s="543">
        <f t="shared" si="114"/>
        <v>0.12497736494554997</v>
      </c>
      <c r="BI70" s="543">
        <f t="shared" si="115"/>
        <v>0.10224475370642067</v>
      </c>
      <c r="BJ70" s="543">
        <f t="shared" si="116"/>
        <v>1.3801073429894567E-2</v>
      </c>
      <c r="BK70" s="543">
        <f t="shared" si="117"/>
        <v>4.1179384129992593E-2</v>
      </c>
      <c r="BL70">
        <f t="shared" si="118"/>
        <v>3.9150000000000001E-3</v>
      </c>
      <c r="BM70" s="470">
        <f t="shared" ref="BM70:BM105" si="136">SUM(BH70:BL70)*1000</f>
        <v>286.11757621185779</v>
      </c>
      <c r="BN70" s="178">
        <f t="shared" si="119"/>
        <v>0.20800000000000002</v>
      </c>
      <c r="BO70" s="178">
        <f t="shared" si="120"/>
        <v>0.13</v>
      </c>
      <c r="BP70" s="543"/>
      <c r="BR70" s="470">
        <f t="shared" ref="BR70:BR105" si="137">SUM(BN70:BQ70)*1000</f>
        <v>338</v>
      </c>
      <c r="BS70" s="543">
        <f t="shared" si="121"/>
        <v>4.5446314525654535E-2</v>
      </c>
      <c r="BT70" s="543">
        <f t="shared" si="122"/>
        <v>6.4921032413120972E-2</v>
      </c>
      <c r="BU70" s="543">
        <f t="shared" si="123"/>
        <v>1.9019833714781526E-2</v>
      </c>
      <c r="BV70" s="543">
        <f t="shared" si="124"/>
        <v>0</v>
      </c>
      <c r="BW70" s="648">
        <f t="shared" si="125"/>
        <v>8.5679317089263823E-2</v>
      </c>
      <c r="BX70" s="470">
        <f t="shared" ref="BX70:BX105" si="138">SUM(BS70:BW70)*1000</f>
        <v>215.06649774282084</v>
      </c>
      <c r="BY70" s="178">
        <f t="shared" ref="BY70:BY105" si="139">SUM(BH70:BL70,BN70:BQ70,BS70:BW70)</f>
        <v>0.83918407395467864</v>
      </c>
      <c r="BZ70" s="6">
        <f t="shared" ref="BZ70:BZ105" si="140">MIN(H70+I70,O70+P70)</f>
        <v>10.14</v>
      </c>
      <c r="CA70" s="178">
        <f t="shared" ref="CA70:CA105" si="141">BZ70/(BZ70+BY70)</f>
        <v>0.92356589813031476</v>
      </c>
      <c r="CB70" s="6">
        <f t="shared" ref="CB70:CB105" si="142">CA70*100</f>
        <v>92.356589813031476</v>
      </c>
      <c r="CC70">
        <f t="shared" ref="CC70:CC105" si="143">F70/Iout*100</f>
        <v>65</v>
      </c>
      <c r="CE70" s="577">
        <f t="shared" si="126"/>
        <v>-50</v>
      </c>
      <c r="CF70">
        <f t="shared" si="127"/>
        <v>-50</v>
      </c>
    </row>
    <row r="71" spans="5:84" x14ac:dyDescent="0.2">
      <c r="E71" s="175">
        <v>66</v>
      </c>
      <c r="F71" s="222">
        <f t="shared" si="84"/>
        <v>0.52800000000000002</v>
      </c>
      <c r="G71" s="222">
        <f t="shared" si="128"/>
        <v>0.33</v>
      </c>
      <c r="H71" s="222">
        <f t="shared" si="86"/>
        <v>6.3360000000000003</v>
      </c>
      <c r="I71" s="222">
        <f t="shared" si="85"/>
        <v>3.96</v>
      </c>
      <c r="J71" s="556">
        <f t="shared" si="87"/>
        <v>13.5</v>
      </c>
      <c r="K71" s="452">
        <f t="shared" si="88"/>
        <v>12.25</v>
      </c>
      <c r="L71" s="452">
        <f t="shared" si="89"/>
        <v>25.75</v>
      </c>
      <c r="M71" s="452"/>
      <c r="N71" s="222">
        <f t="shared" si="90"/>
        <v>0.47572815533980584</v>
      </c>
      <c r="O71" s="177">
        <f t="shared" si="129"/>
        <v>7.6969156086631818</v>
      </c>
      <c r="P71" s="177">
        <f t="shared" si="91"/>
        <v>7.8171799150485421</v>
      </c>
      <c r="Q71" s="222">
        <f t="shared" si="92"/>
        <v>0.64140963405526519</v>
      </c>
      <c r="R71" s="222">
        <f t="shared" si="93"/>
        <v>0.64140963405526519</v>
      </c>
      <c r="S71" s="452">
        <f t="shared" si="94"/>
        <v>12</v>
      </c>
      <c r="T71" s="222">
        <f t="shared" si="95"/>
        <v>3.375066237021124</v>
      </c>
      <c r="U71" s="222">
        <f t="shared" si="96"/>
        <v>1.7500343451220643</v>
      </c>
      <c r="V71" s="222">
        <f t="shared" si="97"/>
        <v>1.9286092782977851</v>
      </c>
      <c r="W71" s="202">
        <f t="shared" si="98"/>
        <v>350</v>
      </c>
      <c r="X71" s="452">
        <f t="shared" si="130"/>
        <v>271.83932513428698</v>
      </c>
      <c r="Z71" s="222">
        <f t="shared" si="99"/>
        <v>2.6213592233009715</v>
      </c>
      <c r="AA71" s="178">
        <f t="shared" si="100"/>
        <v>1.4979195561719838</v>
      </c>
      <c r="AB71" s="178">
        <f t="shared" si="101"/>
        <v>0.68715241775850722</v>
      </c>
      <c r="AC71" s="178"/>
      <c r="AD71" s="178">
        <f t="shared" si="102"/>
        <v>0.46857142857142853</v>
      </c>
      <c r="AE71" s="560">
        <f t="shared" si="103"/>
        <v>2748.3640690065445</v>
      </c>
      <c r="AF71" s="543">
        <f t="shared" si="104"/>
        <v>6.723999999999998E-2</v>
      </c>
      <c r="AH71" s="178">
        <f t="shared" si="105"/>
        <v>2.8991202043350448</v>
      </c>
      <c r="AI71" s="178">
        <f t="shared" si="106"/>
        <v>2.8991202043350448</v>
      </c>
      <c r="AJ71" s="178">
        <f t="shared" si="107"/>
        <v>2.7400890402481815</v>
      </c>
      <c r="AL71" s="560">
        <f t="shared" si="108"/>
        <v>528</v>
      </c>
      <c r="AM71" s="470">
        <f t="shared" si="109"/>
        <v>271.83932513428698</v>
      </c>
      <c r="AO71">
        <f t="shared" si="131"/>
        <v>528</v>
      </c>
      <c r="AP71">
        <f t="shared" si="110"/>
        <v>271.83932513428698</v>
      </c>
      <c r="AR71" s="6">
        <f t="shared" si="132"/>
        <v>3.6786436234198492</v>
      </c>
      <c r="AS71" s="6">
        <f t="shared" si="111"/>
        <v>1.503247513358912</v>
      </c>
      <c r="AT71" s="6">
        <f t="shared" si="133"/>
        <v>2.1753961100609374</v>
      </c>
      <c r="AU71" s="178">
        <f t="shared" si="134"/>
        <v>0.40864178954128172</v>
      </c>
      <c r="AW71" s="6">
        <f>L*Iout^2/(2*Vripple1_spec*Vout*Npri_sec1^2)*1000000000*((1+N71)/(1-N71))^2</f>
        <v>12.324950464868163</v>
      </c>
      <c r="AX71" s="6">
        <f>L*F71^2/(2*Cout*Vout*Nps^2)*1000000000*((1+N71)/(1-N71))^2+F71*RCoutEsr</f>
        <v>15.291442780842312</v>
      </c>
      <c r="AY71" s="6">
        <f>L*Iout2^2/(2*Vripple2_spec*Vout2*Npri_sec2^2)*1000000000*((1+N71)/(1-N71))^2</f>
        <v>4.8144337753391264</v>
      </c>
      <c r="AZ71" s="6">
        <f>L*G71^2/(2*Cout2*Vout2*Npri_sec2^2)*1000000000*((1+N71)/(1-N71))^2+G71*CoutEsr2</f>
        <v>6.3444698362665282</v>
      </c>
      <c r="BA71" s="6">
        <f>(H71+I71)/Efficiency/J71*AT71/Vinripple1</f>
        <v>2.5872937231030146</v>
      </c>
      <c r="BB71" s="470">
        <f>((BZ71/J71/Efficiency)*AT71/Cin+(BZ71/J71/Efficiency)*RCinEsr)*1000</f>
        <v>177.05074736208508</v>
      </c>
      <c r="BC71" s="6"/>
      <c r="BD71" s="178">
        <f t="shared" si="135"/>
        <v>1.0699832620112464</v>
      </c>
      <c r="BE71" s="178">
        <f t="shared" si="112"/>
        <v>1.2871551857010082</v>
      </c>
      <c r="BF71" s="178">
        <f t="shared" si="113"/>
        <v>0.80447199106312994</v>
      </c>
      <c r="BG71" s="178"/>
      <c r="BH71" s="543">
        <f t="shared" si="114"/>
        <v>0.12593505990826503</v>
      </c>
      <c r="BI71" s="543">
        <f t="shared" si="115"/>
        <v>0.10146721577806289</v>
      </c>
      <c r="BJ71" s="543">
        <f t="shared" si="116"/>
        <v>1.3591966256714348E-2</v>
      </c>
      <c r="BK71" s="543">
        <f t="shared" si="117"/>
        <v>4.0555454067416959E-2</v>
      </c>
      <c r="BL71">
        <f t="shared" si="118"/>
        <v>3.9150000000000001E-3</v>
      </c>
      <c r="BM71" s="470">
        <f t="shared" si="136"/>
        <v>285.46469601045925</v>
      </c>
      <c r="BN71" s="178">
        <f t="shared" si="119"/>
        <v>0.21120000000000003</v>
      </c>
      <c r="BO71" s="178">
        <f t="shared" si="120"/>
        <v>0.13200000000000001</v>
      </c>
      <c r="BP71" s="543"/>
      <c r="BR71" s="470">
        <f t="shared" si="137"/>
        <v>343.20000000000005</v>
      </c>
      <c r="BS71" s="543">
        <f t="shared" si="121"/>
        <v>4.5794567239369102E-2</v>
      </c>
      <c r="BT71" s="543">
        <f t="shared" si="122"/>
        <v>6.6270738883079869E-2</v>
      </c>
      <c r="BU71" s="543">
        <f t="shared" si="123"/>
        <v>1.9415255532152297E-2</v>
      </c>
      <c r="BV71" s="543">
        <f t="shared" si="124"/>
        <v>0</v>
      </c>
      <c r="BW71" s="648">
        <f t="shared" si="125"/>
        <v>8.5679317089263823E-2</v>
      </c>
      <c r="BX71" s="470">
        <f t="shared" si="138"/>
        <v>217.15987874386508</v>
      </c>
      <c r="BY71" s="178">
        <f t="shared" si="139"/>
        <v>0.84582457475432438</v>
      </c>
      <c r="BZ71" s="6">
        <f t="shared" si="140"/>
        <v>10.295999999999999</v>
      </c>
      <c r="CA71" s="178">
        <f t="shared" si="141"/>
        <v>0.92408563165939317</v>
      </c>
      <c r="CB71" s="6">
        <f t="shared" si="142"/>
        <v>92.408563165939313</v>
      </c>
      <c r="CC71">
        <f t="shared" si="143"/>
        <v>66</v>
      </c>
      <c r="CE71" s="577">
        <f t="shared" si="126"/>
        <v>-50</v>
      </c>
      <c r="CF71">
        <f t="shared" si="127"/>
        <v>-50</v>
      </c>
    </row>
    <row r="72" spans="5:84" x14ac:dyDescent="0.2">
      <c r="E72" s="175">
        <v>67</v>
      </c>
      <c r="F72" s="222">
        <f t="shared" ref="F72:F103" si="144">IF(PLOT_TYPE=1, E72/100*Iout_max, min_I*EXP(O72*rr/100))</f>
        <v>0.53600000000000003</v>
      </c>
      <c r="G72" s="222">
        <f t="shared" si="128"/>
        <v>0.33500000000000002</v>
      </c>
      <c r="H72" s="222">
        <f t="shared" si="86"/>
        <v>6.4320000000000004</v>
      </c>
      <c r="I72" s="222">
        <f t="shared" ref="I72:I105" si="145">Vout2*G72</f>
        <v>4.0200000000000005</v>
      </c>
      <c r="J72" s="556">
        <f t="shared" si="87"/>
        <v>13.5</v>
      </c>
      <c r="K72" s="452">
        <f t="shared" si="88"/>
        <v>12.25</v>
      </c>
      <c r="L72" s="452">
        <f t="shared" si="89"/>
        <v>25.75</v>
      </c>
      <c r="M72" s="452"/>
      <c r="N72" s="222">
        <f t="shared" si="90"/>
        <v>0.47572815533980584</v>
      </c>
      <c r="O72" s="177">
        <f t="shared" si="129"/>
        <v>7.6969156086631818</v>
      </c>
      <c r="P72" s="177">
        <f t="shared" si="91"/>
        <v>7.8171799150485421</v>
      </c>
      <c r="Q72" s="222">
        <f t="shared" si="92"/>
        <v>0.64140963405526519</v>
      </c>
      <c r="R72" s="222">
        <f t="shared" si="93"/>
        <v>0.64140963405526519</v>
      </c>
      <c r="S72" s="452">
        <f t="shared" si="94"/>
        <v>12</v>
      </c>
      <c r="T72" s="222">
        <f t="shared" si="95"/>
        <v>3.4262036042487174</v>
      </c>
      <c r="U72" s="222">
        <f t="shared" si="96"/>
        <v>1.7765500170178534</v>
      </c>
      <c r="V72" s="222">
        <f t="shared" si="97"/>
        <v>1.9578306309992668</v>
      </c>
      <c r="W72" s="202">
        <f t="shared" si="98"/>
        <v>350</v>
      </c>
      <c r="X72" s="452">
        <f t="shared" si="130"/>
        <v>267.78202177407371</v>
      </c>
      <c r="Z72" s="222">
        <f t="shared" si="99"/>
        <v>2.6213592233009715</v>
      </c>
      <c r="AA72" s="178">
        <f t="shared" si="100"/>
        <v>1.4979195561719838</v>
      </c>
      <c r="AB72" s="178">
        <f t="shared" si="101"/>
        <v>0.68715241775850722</v>
      </c>
      <c r="AC72" s="178"/>
      <c r="AD72" s="178">
        <f t="shared" si="102"/>
        <v>0.46857142857142853</v>
      </c>
      <c r="AE72" s="560">
        <f t="shared" si="103"/>
        <v>2790.005948839977</v>
      </c>
      <c r="AF72" s="543">
        <f t="shared" si="104"/>
        <v>6.723999999999998E-2</v>
      </c>
      <c r="AH72" s="178">
        <f t="shared" si="105"/>
        <v>2.9210006672301847</v>
      </c>
      <c r="AI72" s="178">
        <f t="shared" si="106"/>
        <v>2.9210006672301847</v>
      </c>
      <c r="AJ72" s="178">
        <f t="shared" si="107"/>
        <v>2.756296790540878</v>
      </c>
      <c r="AL72" s="560">
        <f t="shared" si="108"/>
        <v>536</v>
      </c>
      <c r="AM72" s="470">
        <f t="shared" si="109"/>
        <v>267.78202177407371</v>
      </c>
      <c r="AO72">
        <f t="shared" si="131"/>
        <v>536</v>
      </c>
      <c r="AP72">
        <f t="shared" si="110"/>
        <v>267.78202177407371</v>
      </c>
      <c r="AR72" s="6">
        <f t="shared" si="132"/>
        <v>3.7343806480171202</v>
      </c>
      <c r="AS72" s="6">
        <f t="shared" si="111"/>
        <v>1.5145929385637995</v>
      </c>
      <c r="AT72" s="6">
        <f t="shared" si="133"/>
        <v>2.2197877094533207</v>
      </c>
      <c r="AU72" s="178">
        <f t="shared" si="134"/>
        <v>0.40558075925334963</v>
      </c>
      <c r="AW72" s="6">
        <f>L*Iout^2/(2*Vripple1_spec*Vout*Npri_sec1^2)*1000000000*((1+N72)/(1-N72))^2</f>
        <v>12.324950464868163</v>
      </c>
      <c r="AX72" s="6">
        <f>L*F72^2/(2*Cout*Vout*Nps^2)*1000000000*((1+N72)/(1-N72))^2+F72*RCoutEsr</f>
        <v>15.733966630670599</v>
      </c>
      <c r="AY72" s="6">
        <f>L*Iout2^2/(2*Vripple2_spec*Vout2*Npri_sec2^2)*1000000000*((1+N72)/(1-N72))^2</f>
        <v>4.8144337753391264</v>
      </c>
      <c r="AZ72" s="6">
        <f>L*G72^2/(2*Cout2*Vout2*Npri_sec2^2)*1000000000*((1+N72)/(1-N72))^2+G72*CoutEsr2</f>
        <v>6.5229557151057023</v>
      </c>
      <c r="BA72" s="6">
        <f>(H72+I72)/Efficiency/J72*AT72/Vinripple1</f>
        <v>2.6800919661201199</v>
      </c>
      <c r="BB72" s="470">
        <f>((BZ72/J72/Efficiency)*AT72/Cin+(BZ72/J72/Efficiency)*RCinEsr)*1000</f>
        <v>183.35111999380987</v>
      </c>
      <c r="BC72" s="6"/>
      <c r="BD72" s="178">
        <f t="shared" si="135"/>
        <v>1.0740134021277086</v>
      </c>
      <c r="BE72" s="178">
        <f t="shared" si="112"/>
        <v>1.3002218444185309</v>
      </c>
      <c r="BF72" s="178">
        <f t="shared" si="113"/>
        <v>0.81263865276158165</v>
      </c>
      <c r="BG72" s="178"/>
      <c r="BH72" s="543">
        <f t="shared" si="114"/>
        <v>0.12688552667449285</v>
      </c>
      <c r="BI72" s="543">
        <f t="shared" si="115"/>
        <v>0.10070715102531833</v>
      </c>
      <c r="BJ72" s="543">
        <f t="shared" si="116"/>
        <v>1.3389101088703685E-2</v>
      </c>
      <c r="BK72" s="543">
        <f t="shared" si="117"/>
        <v>3.995014878282864E-2</v>
      </c>
      <c r="BL72">
        <f t="shared" si="118"/>
        <v>3.9150000000000001E-3</v>
      </c>
      <c r="BM72" s="470">
        <f t="shared" si="136"/>
        <v>284.84692757134349</v>
      </c>
      <c r="BN72" s="178">
        <f t="shared" si="119"/>
        <v>0.21440000000000003</v>
      </c>
      <c r="BO72" s="178">
        <f t="shared" si="120"/>
        <v>0.13400000000000001</v>
      </c>
      <c r="BP72" s="543"/>
      <c r="BR72" s="470">
        <f t="shared" si="137"/>
        <v>348.40000000000003</v>
      </c>
      <c r="BS72" s="543">
        <f t="shared" si="121"/>
        <v>4.6140191517997399E-2</v>
      </c>
      <c r="BT72" s="543">
        <f t="shared" si="122"/>
        <v>6.7623073788125057E-2</v>
      </c>
      <c r="BU72" s="543">
        <f t="shared" si="123"/>
        <v>1.9811447398864753E-2</v>
      </c>
      <c r="BV72" s="543">
        <f t="shared" si="124"/>
        <v>0</v>
      </c>
      <c r="BW72" s="648">
        <f t="shared" si="125"/>
        <v>8.5679317089263851E-2</v>
      </c>
      <c r="BX72" s="470">
        <f t="shared" si="138"/>
        <v>219.25402979425107</v>
      </c>
      <c r="BY72" s="178">
        <f t="shared" si="139"/>
        <v>0.85250095736559461</v>
      </c>
      <c r="BZ72" s="6">
        <f t="shared" si="140"/>
        <v>10.452000000000002</v>
      </c>
      <c r="CA72" s="178">
        <f t="shared" si="141"/>
        <v>0.92458747532679575</v>
      </c>
      <c r="CB72" s="6">
        <f t="shared" si="142"/>
        <v>92.458747532679581</v>
      </c>
      <c r="CC72">
        <f t="shared" si="143"/>
        <v>67</v>
      </c>
      <c r="CE72" s="577">
        <f t="shared" si="126"/>
        <v>-50</v>
      </c>
      <c r="CF72">
        <f t="shared" si="127"/>
        <v>-50</v>
      </c>
    </row>
    <row r="73" spans="5:84" x14ac:dyDescent="0.2">
      <c r="E73" s="175">
        <v>68</v>
      </c>
      <c r="F73" s="222">
        <f t="shared" si="144"/>
        <v>0.54400000000000004</v>
      </c>
      <c r="G73" s="222">
        <f t="shared" si="128"/>
        <v>0.34</v>
      </c>
      <c r="H73" s="222">
        <f t="shared" si="86"/>
        <v>6.5280000000000005</v>
      </c>
      <c r="I73" s="222">
        <f t="shared" si="145"/>
        <v>4.08</v>
      </c>
      <c r="J73" s="556">
        <f t="shared" si="87"/>
        <v>13.5</v>
      </c>
      <c r="K73" s="452">
        <f t="shared" si="88"/>
        <v>12.25</v>
      </c>
      <c r="L73" s="452">
        <f t="shared" si="89"/>
        <v>25.75</v>
      </c>
      <c r="M73" s="452"/>
      <c r="N73" s="222">
        <f t="shared" si="90"/>
        <v>0.47572815533980584</v>
      </c>
      <c r="O73" s="177">
        <f t="shared" si="129"/>
        <v>7.6969156086631818</v>
      </c>
      <c r="P73" s="177">
        <f t="shared" si="91"/>
        <v>7.8171799150485421</v>
      </c>
      <c r="Q73" s="222">
        <f t="shared" si="92"/>
        <v>0.64140963405526519</v>
      </c>
      <c r="R73" s="222">
        <f t="shared" si="93"/>
        <v>0.64140963405526519</v>
      </c>
      <c r="S73" s="452">
        <f t="shared" si="94"/>
        <v>12</v>
      </c>
      <c r="T73" s="222">
        <f t="shared" si="95"/>
        <v>3.4773409714763099</v>
      </c>
      <c r="U73" s="222">
        <f t="shared" si="96"/>
        <v>1.8030656889136421</v>
      </c>
      <c r="V73" s="222">
        <f t="shared" si="97"/>
        <v>1.9870519837007488</v>
      </c>
      <c r="W73" s="202">
        <f t="shared" si="98"/>
        <v>350</v>
      </c>
      <c r="X73" s="452">
        <f t="shared" si="130"/>
        <v>263.84405086563146</v>
      </c>
      <c r="Z73" s="222">
        <f t="shared" si="99"/>
        <v>2.6213592233009715</v>
      </c>
      <c r="AA73" s="178">
        <f t="shared" si="100"/>
        <v>1.4979195561719838</v>
      </c>
      <c r="AB73" s="178">
        <f t="shared" si="101"/>
        <v>0.68715241775850722</v>
      </c>
      <c r="AC73" s="178"/>
      <c r="AD73" s="178">
        <f t="shared" si="102"/>
        <v>0.46857142857142853</v>
      </c>
      <c r="AE73" s="560">
        <f t="shared" si="103"/>
        <v>2831.6478286734091</v>
      </c>
      <c r="AF73" s="543">
        <f t="shared" si="104"/>
        <v>6.723999999999998E-2</v>
      </c>
      <c r="AH73" s="178">
        <f t="shared" si="105"/>
        <v>2.9427184433334244</v>
      </c>
      <c r="AI73" s="178">
        <f t="shared" si="106"/>
        <v>2.9427184433334244</v>
      </c>
      <c r="AJ73" s="178">
        <f t="shared" si="107"/>
        <v>2.7723840320988327</v>
      </c>
      <c r="AL73" s="560">
        <f t="shared" si="108"/>
        <v>544</v>
      </c>
      <c r="AM73" s="470">
        <f t="shared" si="109"/>
        <v>263.84405086563146</v>
      </c>
      <c r="AO73">
        <f t="shared" si="131"/>
        <v>544</v>
      </c>
      <c r="AP73">
        <f t="shared" si="110"/>
        <v>263.84405086563146</v>
      </c>
      <c r="AR73" s="6">
        <f t="shared" si="132"/>
        <v>3.7901176726143908</v>
      </c>
      <c r="AS73" s="6">
        <f t="shared" si="111"/>
        <v>1.5258540076543681</v>
      </c>
      <c r="AT73" s="6">
        <f t="shared" si="133"/>
        <v>2.2642636649600227</v>
      </c>
      <c r="AU73" s="178">
        <f t="shared" si="134"/>
        <v>0.40258750240908669</v>
      </c>
      <c r="AW73" s="6">
        <f>L*Iout^2/(2*Vripple1_spec*Vout*Npri_sec1^2)*1000000000*((1+N73)/(1-N73))^2</f>
        <v>12.324950464868163</v>
      </c>
      <c r="AX73" s="6">
        <f>L*F73^2/(2*Cout*Vout*Nps^2)*1000000000*((1+N73)/(1-N73))^2+F73*RCoutEsr</f>
        <v>16.18278407222563</v>
      </c>
      <c r="AY73" s="6">
        <f>L*Iout2^2/(2*Vripple2_spec*Vout2*Npri_sec2^2)*1000000000*((1+N73)/(1-N73))^2</f>
        <v>4.8144337753391264</v>
      </c>
      <c r="AZ73" s="6">
        <f>L*G73^2/(2*Cout2*Vout2*Npri_sec2^2)*1000000000*((1+N73)/(1-N73))^2+G73*CoutEsr2</f>
        <v>6.7039000282131358</v>
      </c>
      <c r="BA73" s="6">
        <f>(H73+I73)/Efficiency/J73*AT73/Vinripple1</f>
        <v>2.7745934829711554</v>
      </c>
      <c r="BB73" s="470">
        <f>((BZ73/J73/Efficiency)*AT73/Cin+(BZ73/J73/Efficiency)*RCinEsr)*1000</f>
        <v>189.76646360932494</v>
      </c>
      <c r="BC73" s="6"/>
      <c r="BD73" s="178">
        <f t="shared" si="135"/>
        <v>1.0779986780191546</v>
      </c>
      <c r="BE73" s="178">
        <f t="shared" si="112"/>
        <v>1.3131829508617039</v>
      </c>
      <c r="BF73" s="178">
        <f t="shared" si="113"/>
        <v>0.82073934428856476</v>
      </c>
      <c r="BG73" s="178"/>
      <c r="BH73" s="543">
        <f t="shared" si="114"/>
        <v>0.12782892647921495</v>
      </c>
      <c r="BI73" s="543">
        <f t="shared" si="115"/>
        <v>9.9963914660684841E-2</v>
      </c>
      <c r="BJ73" s="543">
        <f t="shared" si="116"/>
        <v>1.3192202543281571E-2</v>
      </c>
      <c r="BK73" s="543">
        <f t="shared" si="117"/>
        <v>3.9362646594845868E-2</v>
      </c>
      <c r="BL73">
        <f t="shared" si="118"/>
        <v>3.9150000000000001E-3</v>
      </c>
      <c r="BM73" s="470">
        <f t="shared" si="136"/>
        <v>284.26269027802721</v>
      </c>
      <c r="BN73" s="178">
        <f t="shared" si="119"/>
        <v>0.21760000000000002</v>
      </c>
      <c r="BO73" s="178">
        <f t="shared" si="120"/>
        <v>0.13600000000000001</v>
      </c>
      <c r="BP73" s="543"/>
      <c r="BR73" s="470">
        <f t="shared" si="137"/>
        <v>353.6</v>
      </c>
      <c r="BS73" s="543">
        <f t="shared" si="121"/>
        <v>4.6483245992441802E-2</v>
      </c>
      <c r="BT73" s="543">
        <f t="shared" si="122"/>
        <v>6.8977978497354084E-2</v>
      </c>
      <c r="BU73" s="543">
        <f t="shared" si="123"/>
        <v>2.0208392137896696E-2</v>
      </c>
      <c r="BV73" s="543">
        <f t="shared" si="124"/>
        <v>0</v>
      </c>
      <c r="BW73" s="648">
        <f t="shared" si="125"/>
        <v>8.5679317089263823E-2</v>
      </c>
      <c r="BX73" s="470">
        <f t="shared" si="138"/>
        <v>221.3489337169564</v>
      </c>
      <c r="BY73" s="178">
        <f t="shared" si="139"/>
        <v>0.85921162399498363</v>
      </c>
      <c r="BZ73" s="6">
        <f t="shared" si="140"/>
        <v>10.608000000000001</v>
      </c>
      <c r="CA73" s="178">
        <f t="shared" si="141"/>
        <v>0.92507231468571705</v>
      </c>
      <c r="CB73" s="6">
        <f t="shared" si="142"/>
        <v>92.507231468571703</v>
      </c>
      <c r="CC73">
        <f t="shared" si="143"/>
        <v>68</v>
      </c>
      <c r="CE73" s="577">
        <f t="shared" si="126"/>
        <v>-50</v>
      </c>
      <c r="CF73">
        <f t="shared" si="127"/>
        <v>-50</v>
      </c>
    </row>
    <row r="74" spans="5:84" x14ac:dyDescent="0.2">
      <c r="E74" s="175">
        <v>69</v>
      </c>
      <c r="F74" s="222">
        <f t="shared" si="144"/>
        <v>0.55199999999999994</v>
      </c>
      <c r="G74" s="222">
        <f t="shared" si="128"/>
        <v>0.34499999999999997</v>
      </c>
      <c r="H74" s="222">
        <f t="shared" si="86"/>
        <v>6.6239999999999988</v>
      </c>
      <c r="I74" s="222">
        <f t="shared" si="145"/>
        <v>4.1399999999999997</v>
      </c>
      <c r="J74" s="556">
        <f t="shared" si="87"/>
        <v>13.5</v>
      </c>
      <c r="K74" s="452">
        <f t="shared" si="88"/>
        <v>12.25</v>
      </c>
      <c r="L74" s="452">
        <f t="shared" si="89"/>
        <v>25.75</v>
      </c>
      <c r="M74" s="452"/>
      <c r="N74" s="222">
        <f t="shared" si="90"/>
        <v>0.47572815533980584</v>
      </c>
      <c r="O74" s="177">
        <f t="shared" si="129"/>
        <v>7.6969156086631818</v>
      </c>
      <c r="P74" s="177">
        <f t="shared" si="91"/>
        <v>7.8171799150485421</v>
      </c>
      <c r="Q74" s="222">
        <f t="shared" si="92"/>
        <v>0.64140963405526519</v>
      </c>
      <c r="R74" s="222">
        <f t="shared" si="93"/>
        <v>0.64140963405526519</v>
      </c>
      <c r="S74" s="452">
        <f t="shared" si="94"/>
        <v>12</v>
      </c>
      <c r="T74" s="222">
        <f t="shared" si="95"/>
        <v>3.5284783387039025</v>
      </c>
      <c r="U74" s="222">
        <f t="shared" si="96"/>
        <v>1.8295813608094307</v>
      </c>
      <c r="V74" s="222">
        <f t="shared" si="97"/>
        <v>2.0162733364022301</v>
      </c>
      <c r="W74" s="202">
        <f t="shared" si="98"/>
        <v>350</v>
      </c>
      <c r="X74" s="452">
        <f t="shared" si="130"/>
        <v>260.02022404149187</v>
      </c>
      <c r="Z74" s="222">
        <f t="shared" si="99"/>
        <v>2.6213592233009715</v>
      </c>
      <c r="AA74" s="178">
        <f t="shared" si="100"/>
        <v>1.4979195561719838</v>
      </c>
      <c r="AB74" s="178">
        <f t="shared" si="101"/>
        <v>0.68715241775850722</v>
      </c>
      <c r="AC74" s="178"/>
      <c r="AD74" s="178">
        <f t="shared" si="102"/>
        <v>0.46857142857142853</v>
      </c>
      <c r="AE74" s="560">
        <f t="shared" si="103"/>
        <v>2873.2897085068412</v>
      </c>
      <c r="AF74" s="543">
        <f t="shared" si="104"/>
        <v>6.723999999999998E-2</v>
      </c>
      <c r="AH74" s="178">
        <f t="shared" si="105"/>
        <v>2.9642771084212427</v>
      </c>
      <c r="AI74" s="178">
        <f t="shared" si="106"/>
        <v>2.9642771084212427</v>
      </c>
      <c r="AJ74" s="178">
        <f t="shared" si="107"/>
        <v>2.7883534136453649</v>
      </c>
      <c r="AL74" s="560">
        <f t="shared" si="108"/>
        <v>551.99999999999989</v>
      </c>
      <c r="AM74" s="470">
        <f t="shared" si="109"/>
        <v>260.02022404149187</v>
      </c>
      <c r="AO74">
        <f t="shared" si="131"/>
        <v>551.99999999999989</v>
      </c>
      <c r="AP74">
        <f t="shared" si="110"/>
        <v>260.02022404149187</v>
      </c>
      <c r="AR74" s="6">
        <f t="shared" si="132"/>
        <v>3.845854697211661</v>
      </c>
      <c r="AS74" s="6">
        <f t="shared" si="111"/>
        <v>1.5370325747369407</v>
      </c>
      <c r="AT74" s="6">
        <f t="shared" si="133"/>
        <v>2.3088221224747203</v>
      </c>
      <c r="AU74" s="178">
        <f t="shared" si="134"/>
        <v>0.39965955444217044</v>
      </c>
      <c r="AW74" s="6">
        <f>L*Iout^2/(2*Vripple1_spec*Vout*Npri_sec1^2)*1000000000*((1+N74)/(1-N74))^2</f>
        <v>12.324950464868163</v>
      </c>
      <c r="AX74" s="6">
        <f>L*F74^2/(2*Cout*Vout*Nps^2)*1000000000*((1+N74)/(1-N74))^2+F74*RCoutEsr</f>
        <v>16.637895105507397</v>
      </c>
      <c r="AY74" s="6">
        <f>L*Iout2^2/(2*Vripple2_spec*Vout2*Npri_sec2^2)*1000000000*((1+N74)/(1-N74))^2</f>
        <v>4.8144337753391264</v>
      </c>
      <c r="AZ74" s="6">
        <f>L*G74^2/(2*Cout2*Vout2*Npri_sec2^2)*1000000000*((1+N74)/(1-N74))^2+G74*CoutEsr2</f>
        <v>6.887302775588827</v>
      </c>
      <c r="BA74" s="6">
        <f>(H74+I74)/Efficiency/J74*AT74/Vinripple1</f>
        <v>2.870800528633934</v>
      </c>
      <c r="BB74" s="470">
        <f>((BZ74/J74/Efficiency)*AT74/Cin+(BZ74/J74/Efficiency)*RCinEsr)*1000</f>
        <v>196.29693041963267</v>
      </c>
      <c r="BC74" s="6"/>
      <c r="BD74" s="178">
        <f t="shared" si="135"/>
        <v>1.0819402380185699</v>
      </c>
      <c r="BE74" s="178">
        <f t="shared" si="112"/>
        <v>1.3260410676872174</v>
      </c>
      <c r="BF74" s="178">
        <f t="shared" si="113"/>
        <v>0.82877566730451069</v>
      </c>
      <c r="BG74" s="178"/>
      <c r="BH74" s="543">
        <f t="shared" si="114"/>
        <v>0.12876541465080477</v>
      </c>
      <c r="BI74" s="543">
        <f t="shared" si="115"/>
        <v>9.9236894723542496E-2</v>
      </c>
      <c r="BJ74" s="543">
        <f t="shared" si="116"/>
        <v>1.3001011202074593E-2</v>
      </c>
      <c r="BK74" s="543">
        <f t="shared" si="117"/>
        <v>3.8792173455790134E-2</v>
      </c>
      <c r="BL74">
        <f t="shared" si="118"/>
        <v>3.9150000000000001E-3</v>
      </c>
      <c r="BM74" s="470">
        <f t="shared" si="136"/>
        <v>283.71049403221201</v>
      </c>
      <c r="BN74" s="178">
        <f t="shared" si="119"/>
        <v>0.2208</v>
      </c>
      <c r="BO74" s="178">
        <f t="shared" si="120"/>
        <v>0.13799999999999998</v>
      </c>
      <c r="BP74" s="543"/>
      <c r="BR74" s="470">
        <f t="shared" si="137"/>
        <v>358.8</v>
      </c>
      <c r="BS74" s="543">
        <f t="shared" si="121"/>
        <v>4.6823787145747184E-2</v>
      </c>
      <c r="BT74" s="543">
        <f t="shared" si="122"/>
        <v>7.0335396527722222E-2</v>
      </c>
      <c r="BU74" s="543">
        <f t="shared" si="123"/>
        <v>2.0606073201481109E-2</v>
      </c>
      <c r="BV74" s="543">
        <f t="shared" si="124"/>
        <v>0</v>
      </c>
      <c r="BW74" s="648">
        <f t="shared" si="125"/>
        <v>8.5679317089263851E-2</v>
      </c>
      <c r="BX74" s="470">
        <f t="shared" si="138"/>
        <v>223.44457396421436</v>
      </c>
      <c r="BY74" s="178">
        <f t="shared" si="139"/>
        <v>0.86595506799642652</v>
      </c>
      <c r="BZ74" s="6">
        <f t="shared" si="140"/>
        <v>10.763999999999999</v>
      </c>
      <c r="CA74" s="178">
        <f t="shared" si="141"/>
        <v>0.92554097905507982</v>
      </c>
      <c r="CB74" s="6">
        <f t="shared" si="142"/>
        <v>92.554097905507987</v>
      </c>
      <c r="CC74">
        <f t="shared" si="143"/>
        <v>68.999999999999986</v>
      </c>
      <c r="CE74" s="577">
        <f t="shared" si="126"/>
        <v>-50</v>
      </c>
      <c r="CF74">
        <f t="shared" si="127"/>
        <v>-50</v>
      </c>
    </row>
    <row r="75" spans="5:84" x14ac:dyDescent="0.2">
      <c r="E75" s="175">
        <v>70</v>
      </c>
      <c r="F75" s="222">
        <f t="shared" si="144"/>
        <v>0.55999999999999994</v>
      </c>
      <c r="G75" s="222">
        <f t="shared" si="128"/>
        <v>0.35</v>
      </c>
      <c r="H75" s="222">
        <f t="shared" si="86"/>
        <v>6.7199999999999989</v>
      </c>
      <c r="I75" s="222">
        <f t="shared" si="145"/>
        <v>4.1999999999999993</v>
      </c>
      <c r="J75" s="556">
        <f t="shared" si="87"/>
        <v>13.5</v>
      </c>
      <c r="K75" s="452">
        <f t="shared" si="88"/>
        <v>12.25</v>
      </c>
      <c r="L75" s="452">
        <f t="shared" si="89"/>
        <v>25.75</v>
      </c>
      <c r="M75" s="452"/>
      <c r="N75" s="222">
        <f t="shared" si="90"/>
        <v>0.47572815533980584</v>
      </c>
      <c r="O75" s="177">
        <f t="shared" si="129"/>
        <v>7.6969156086631818</v>
      </c>
      <c r="P75" s="177">
        <f t="shared" si="91"/>
        <v>7.8171799150485421</v>
      </c>
      <c r="Q75" s="222">
        <f t="shared" si="92"/>
        <v>0.64140963405526519</v>
      </c>
      <c r="R75" s="222">
        <f t="shared" si="93"/>
        <v>0.64140963405526519</v>
      </c>
      <c r="S75" s="452">
        <f t="shared" si="94"/>
        <v>12</v>
      </c>
      <c r="T75" s="222">
        <f t="shared" si="95"/>
        <v>3.5796157059314946</v>
      </c>
      <c r="U75" s="222">
        <f t="shared" si="96"/>
        <v>1.8560970327052195</v>
      </c>
      <c r="V75" s="222">
        <f t="shared" si="97"/>
        <v>2.0454946891037111</v>
      </c>
      <c r="W75" s="202">
        <f t="shared" si="98"/>
        <v>350</v>
      </c>
      <c r="X75" s="452">
        <f t="shared" si="130"/>
        <v>256.30564941232774</v>
      </c>
      <c r="Z75" s="222">
        <f t="shared" si="99"/>
        <v>2.6213592233009715</v>
      </c>
      <c r="AA75" s="178">
        <f t="shared" si="100"/>
        <v>1.4979195561719838</v>
      </c>
      <c r="AB75" s="178">
        <f t="shared" si="101"/>
        <v>0.68715241775850722</v>
      </c>
      <c r="AC75" s="178"/>
      <c r="AD75" s="178">
        <f t="shared" si="102"/>
        <v>0.46857142857142853</v>
      </c>
      <c r="AE75" s="560">
        <f t="shared" si="103"/>
        <v>2914.9315883402742</v>
      </c>
      <c r="AF75" s="543">
        <f t="shared" si="104"/>
        <v>6.723999999999998E-2</v>
      </c>
      <c r="AH75" s="178">
        <f t="shared" si="105"/>
        <v>2.9856801091687153</v>
      </c>
      <c r="AI75" s="178">
        <f t="shared" si="106"/>
        <v>2.9856801091687153</v>
      </c>
      <c r="AJ75" s="178">
        <f t="shared" si="107"/>
        <v>2.8042074882731223</v>
      </c>
      <c r="AL75" s="560">
        <f t="shared" si="108"/>
        <v>559.99999999999989</v>
      </c>
      <c r="AM75" s="470">
        <f t="shared" si="109"/>
        <v>256.30564941232774</v>
      </c>
      <c r="AO75">
        <f t="shared" si="131"/>
        <v>559.99999999999989</v>
      </c>
      <c r="AP75">
        <f t="shared" si="110"/>
        <v>256.30564941232774</v>
      </c>
      <c r="AR75" s="6">
        <f t="shared" si="132"/>
        <v>3.9015917218089311</v>
      </c>
      <c r="AS75" s="6">
        <f t="shared" si="111"/>
        <v>1.5481304269763707</v>
      </c>
      <c r="AT75" s="6">
        <f t="shared" si="133"/>
        <v>2.3534612948325604</v>
      </c>
      <c r="AU75" s="178">
        <f t="shared" si="134"/>
        <v>0.3967945744611629</v>
      </c>
      <c r="AW75" s="6">
        <f>L*Iout^2/(2*Vripple1_spec*Vout*Npri_sec1^2)*1000000000*((1+N75)/(1-N75))^2</f>
        <v>12.324950464868163</v>
      </c>
      <c r="AX75" s="6">
        <f>L*F75^2/(2*Cout*Vout*Nps^2)*1000000000*((1+N75)/(1-N75))^2+F75*RCoutEsr</f>
        <v>17.099299730515909</v>
      </c>
      <c r="AY75" s="6">
        <f>L*Iout2^2/(2*Vripple2_spec*Vout2*Npri_sec2^2)*1000000000*((1+N75)/(1-N75))^2</f>
        <v>4.8144337753391264</v>
      </c>
      <c r="AZ75" s="6">
        <f>L*G75^2/(2*Cout2*Vout2*Npri_sec2^2)*1000000000*((1+N75)/(1-N75))^2+G75*CoutEsr2</f>
        <v>7.0731639572327767</v>
      </c>
      <c r="BA75" s="6">
        <f>(H75+I75)/Efficiency/J75*AT75/Vinripple1</f>
        <v>2.9687153088812717</v>
      </c>
      <c r="BB75" s="470">
        <f>((BZ75/J75/Efficiency)*AT75/Cin+(BZ75/J75/Efficiency)*RCinEsr)*1000</f>
        <v>202.9426693143981</v>
      </c>
      <c r="BC75" s="6"/>
      <c r="BD75" s="178">
        <f t="shared" si="135"/>
        <v>1.085839184935661</v>
      </c>
      <c r="BE75" s="178">
        <f t="shared" si="112"/>
        <v>1.3387986539755818</v>
      </c>
      <c r="BF75" s="178">
        <f t="shared" si="113"/>
        <v>0.83674915873473854</v>
      </c>
      <c r="BG75" s="178"/>
      <c r="BH75" s="543">
        <f t="shared" si="114"/>
        <v>0.12969514090959147</v>
      </c>
      <c r="BI75" s="543">
        <f t="shared" si="115"/>
        <v>9.852550996218698E-2</v>
      </c>
      <c r="BJ75" s="543">
        <f t="shared" si="116"/>
        <v>1.2815282470616385E-2</v>
      </c>
      <c r="BK75" s="543">
        <f t="shared" si="117"/>
        <v>3.8237999549278846E-2</v>
      </c>
      <c r="BL75">
        <f t="shared" si="118"/>
        <v>3.9150000000000001E-3</v>
      </c>
      <c r="BM75" s="470">
        <f t="shared" si="136"/>
        <v>283.18893289167369</v>
      </c>
      <c r="BN75" s="178">
        <f t="shared" si="119"/>
        <v>0.22399999999999998</v>
      </c>
      <c r="BO75" s="178">
        <f t="shared" si="120"/>
        <v>0.13999999999999999</v>
      </c>
      <c r="BP75" s="543"/>
      <c r="BR75" s="470">
        <f t="shared" si="137"/>
        <v>364</v>
      </c>
      <c r="BS75" s="543">
        <f t="shared" si="121"/>
        <v>4.7161869421669625E-2</v>
      </c>
      <c r="BT75" s="543">
        <f t="shared" si="122"/>
        <v>7.1695273435473189E-2</v>
      </c>
      <c r="BU75" s="543">
        <f t="shared" si="123"/>
        <v>2.1004474639298779E-2</v>
      </c>
      <c r="BV75" s="543">
        <f t="shared" si="124"/>
        <v>0</v>
      </c>
      <c r="BW75" s="648">
        <f t="shared" si="125"/>
        <v>8.5679317089263823E-2</v>
      </c>
      <c r="BX75" s="470">
        <f t="shared" si="138"/>
        <v>225.54093458570543</v>
      </c>
      <c r="BY75" s="178">
        <f t="shared" si="139"/>
        <v>0.87272986747737913</v>
      </c>
      <c r="BZ75" s="6">
        <f t="shared" si="140"/>
        <v>10.919999999999998</v>
      </c>
      <c r="CA75" s="178">
        <f t="shared" si="141"/>
        <v>0.92599424583749346</v>
      </c>
      <c r="CB75" s="6">
        <f t="shared" si="142"/>
        <v>92.599424583749339</v>
      </c>
      <c r="CC75">
        <f t="shared" si="143"/>
        <v>69.999999999999986</v>
      </c>
      <c r="CE75" s="577">
        <f t="shared" si="126"/>
        <v>-50</v>
      </c>
      <c r="CF75">
        <f t="shared" si="127"/>
        <v>-50</v>
      </c>
    </row>
    <row r="76" spans="5:84" x14ac:dyDescent="0.2">
      <c r="E76" s="175">
        <v>71</v>
      </c>
      <c r="F76" s="222">
        <f t="shared" si="144"/>
        <v>0.56799999999999995</v>
      </c>
      <c r="G76" s="222">
        <f t="shared" si="128"/>
        <v>0.35499999999999998</v>
      </c>
      <c r="H76" s="222">
        <f t="shared" si="86"/>
        <v>6.8159999999999989</v>
      </c>
      <c r="I76" s="222">
        <f t="shared" si="145"/>
        <v>4.26</v>
      </c>
      <c r="J76" s="556">
        <f t="shared" si="87"/>
        <v>13.5</v>
      </c>
      <c r="K76" s="452">
        <f t="shared" si="88"/>
        <v>12.25</v>
      </c>
      <c r="L76" s="452">
        <f t="shared" si="89"/>
        <v>25.75</v>
      </c>
      <c r="M76" s="452"/>
      <c r="N76" s="222">
        <f t="shared" si="90"/>
        <v>0.47572815533980584</v>
      </c>
      <c r="O76" s="177">
        <f t="shared" si="129"/>
        <v>7.6969156086631818</v>
      </c>
      <c r="P76" s="177">
        <f t="shared" si="91"/>
        <v>7.8171799150485421</v>
      </c>
      <c r="Q76" s="222">
        <f t="shared" si="92"/>
        <v>0.64140963405526519</v>
      </c>
      <c r="R76" s="222">
        <f t="shared" si="93"/>
        <v>0.64140963405526519</v>
      </c>
      <c r="S76" s="452">
        <f t="shared" si="94"/>
        <v>12</v>
      </c>
      <c r="T76" s="222">
        <f t="shared" si="95"/>
        <v>3.6307530731590876</v>
      </c>
      <c r="U76" s="222">
        <f t="shared" si="96"/>
        <v>1.8826127046010086</v>
      </c>
      <c r="V76" s="222">
        <f t="shared" si="97"/>
        <v>2.0747160418051926</v>
      </c>
      <c r="W76" s="202">
        <f t="shared" si="98"/>
        <v>350</v>
      </c>
      <c r="X76" s="452">
        <f t="shared" si="130"/>
        <v>252.69571068821045</v>
      </c>
      <c r="Z76" s="222">
        <f t="shared" si="99"/>
        <v>2.6213592233009715</v>
      </c>
      <c r="AA76" s="178">
        <f t="shared" si="100"/>
        <v>1.4979195561719838</v>
      </c>
      <c r="AB76" s="178">
        <f t="shared" si="101"/>
        <v>0.68715241775850722</v>
      </c>
      <c r="AC76" s="178"/>
      <c r="AD76" s="178">
        <f t="shared" si="102"/>
        <v>0.46857142857142853</v>
      </c>
      <c r="AE76" s="560">
        <f t="shared" si="103"/>
        <v>2956.5734681737063</v>
      </c>
      <c r="AF76" s="543">
        <f t="shared" si="104"/>
        <v>6.723999999999998E-2</v>
      </c>
      <c r="AH76" s="178">
        <f t="shared" si="105"/>
        <v>3.0069307695823699</v>
      </c>
      <c r="AI76" s="178">
        <f t="shared" si="106"/>
        <v>3.0069307695823699</v>
      </c>
      <c r="AJ76" s="178">
        <f t="shared" si="107"/>
        <v>2.8199487182091634</v>
      </c>
      <c r="AL76" s="560">
        <f t="shared" si="108"/>
        <v>568</v>
      </c>
      <c r="AM76" s="470">
        <f t="shared" si="109"/>
        <v>252.69571068821045</v>
      </c>
      <c r="AO76">
        <f t="shared" si="131"/>
        <v>568</v>
      </c>
      <c r="AP76">
        <f t="shared" si="110"/>
        <v>252.69571068821045</v>
      </c>
      <c r="AR76" s="6">
        <f t="shared" si="132"/>
        <v>3.9573287464062012</v>
      </c>
      <c r="AS76" s="6">
        <f t="shared" si="111"/>
        <v>1.5591492879315991</v>
      </c>
      <c r="AT76" s="6">
        <f t="shared" si="133"/>
        <v>2.3981794584746021</v>
      </c>
      <c r="AU76" s="178">
        <f t="shared" si="134"/>
        <v>0.39399033738289274</v>
      </c>
      <c r="AW76" s="6">
        <f>L*Iout^2/(2*Vripple1_spec*Vout*Npri_sec1^2)*1000000000*((1+N76)/(1-N76))^2</f>
        <v>12.324950464868163</v>
      </c>
      <c r="AX76" s="6">
        <f>L*F76^2/(2*Cout*Vout*Nps^2)*1000000000*((1+N76)/(1-N76))^2+F76*RCoutEsr</f>
        <v>17.566997947251163</v>
      </c>
      <c r="AY76" s="6">
        <f>L*Iout2^2/(2*Vripple2_spec*Vout2*Npri_sec2^2)*1000000000*((1+N76)/(1-N76))^2</f>
        <v>4.8144337753391264</v>
      </c>
      <c r="AZ76" s="6">
        <f>L*G76^2/(2*Cout2*Vout2*Npri_sec2^2)*1000000000*((1+N76)/(1-N76))^2+G76*CoutEsr2</f>
        <v>7.2614835731449858</v>
      </c>
      <c r="BA76" s="6">
        <f>(H76+I76)/Efficiency/J76*AT76/Vinripple1</f>
        <v>3.0683399820448707</v>
      </c>
      <c r="BB76" s="470">
        <f>((BZ76/J76/Efficiency)*AT76/Cin+(BZ76/J76/Efficiency)*RCinEsr)*1000</f>
        <v>209.70382598101122</v>
      </c>
      <c r="BC76" s="6"/>
      <c r="BD76" s="178">
        <f t="shared" si="135"/>
        <v>1.0896965784828623</v>
      </c>
      <c r="BE76" s="178">
        <f t="shared" si="112"/>
        <v>1.3514580710710751</v>
      </c>
      <c r="BF76" s="178">
        <f t="shared" si="113"/>
        <v>0.84466129441942173</v>
      </c>
      <c r="BG76" s="178"/>
      <c r="BH76" s="543">
        <f t="shared" si="114"/>
        <v>0.13061824964729826</v>
      </c>
      <c r="BI76" s="543">
        <f t="shared" si="115"/>
        <v>9.7829207880520061E-2</v>
      </c>
      <c r="BJ76" s="543">
        <f t="shared" si="116"/>
        <v>1.2634785534410522E-2</v>
      </c>
      <c r="BK76" s="543">
        <f t="shared" si="117"/>
        <v>3.7699436175345345E-2</v>
      </c>
      <c r="BL76">
        <f t="shared" si="118"/>
        <v>3.9150000000000001E-3</v>
      </c>
      <c r="BM76" s="470">
        <f t="shared" si="136"/>
        <v>282.69667923757419</v>
      </c>
      <c r="BN76" s="178">
        <f t="shared" si="119"/>
        <v>0.22719999999999999</v>
      </c>
      <c r="BO76" s="178">
        <f t="shared" si="120"/>
        <v>0.14199999999999999</v>
      </c>
      <c r="BP76" s="543"/>
      <c r="BR76" s="470">
        <f t="shared" si="137"/>
        <v>369.2</v>
      </c>
      <c r="BS76" s="543">
        <f t="shared" si="121"/>
        <v>4.7497545326290275E-2</v>
      </c>
      <c r="BT76" s="543">
        <f t="shared" si="122"/>
        <v>7.3057556714526045E-2</v>
      </c>
      <c r="BU76" s="543">
        <f t="shared" si="123"/>
        <v>2.140358106870879E-2</v>
      </c>
      <c r="BV76" s="543">
        <f t="shared" si="124"/>
        <v>0</v>
      </c>
      <c r="BW76" s="648">
        <f t="shared" si="125"/>
        <v>8.5679317089263837E-2</v>
      </c>
      <c r="BX76" s="470">
        <f t="shared" si="138"/>
        <v>227.63800019878894</v>
      </c>
      <c r="BY76" s="178">
        <f t="shared" si="139"/>
        <v>0.8795346794363631</v>
      </c>
      <c r="BZ76" s="6">
        <f t="shared" si="140"/>
        <v>11.075999999999999</v>
      </c>
      <c r="CA76" s="178">
        <f t="shared" si="141"/>
        <v>0.92643284445076546</v>
      </c>
      <c r="CB76" s="6">
        <f t="shared" si="142"/>
        <v>92.643284445076546</v>
      </c>
      <c r="CC76">
        <f t="shared" si="143"/>
        <v>70.999999999999986</v>
      </c>
      <c r="CE76" s="577">
        <f t="shared" si="126"/>
        <v>-50</v>
      </c>
      <c r="CF76">
        <f t="shared" si="127"/>
        <v>-50</v>
      </c>
    </row>
    <row r="77" spans="5:84" x14ac:dyDescent="0.2">
      <c r="E77" s="175">
        <v>72</v>
      </c>
      <c r="F77" s="222">
        <f t="shared" si="144"/>
        <v>0.57599999999999996</v>
      </c>
      <c r="G77" s="222">
        <f t="shared" si="128"/>
        <v>0.36</v>
      </c>
      <c r="H77" s="222">
        <f t="shared" si="86"/>
        <v>6.911999999999999</v>
      </c>
      <c r="I77" s="222">
        <f t="shared" si="145"/>
        <v>4.32</v>
      </c>
      <c r="J77" s="556">
        <f t="shared" si="87"/>
        <v>13.5</v>
      </c>
      <c r="K77" s="452">
        <f t="shared" si="88"/>
        <v>12.25</v>
      </c>
      <c r="L77" s="452">
        <f t="shared" si="89"/>
        <v>25.75</v>
      </c>
      <c r="M77" s="452"/>
      <c r="N77" s="222">
        <f t="shared" si="90"/>
        <v>0.47572815533980584</v>
      </c>
      <c r="O77" s="177">
        <f t="shared" si="129"/>
        <v>7.6969156086631818</v>
      </c>
      <c r="P77" s="177">
        <f t="shared" si="91"/>
        <v>7.8171799150485421</v>
      </c>
      <c r="Q77" s="222">
        <f t="shared" si="92"/>
        <v>0.64140963405526519</v>
      </c>
      <c r="R77" s="222">
        <f t="shared" si="93"/>
        <v>0.64140963405526519</v>
      </c>
      <c r="S77" s="452">
        <f t="shared" si="94"/>
        <v>12</v>
      </c>
      <c r="T77" s="222">
        <f t="shared" si="95"/>
        <v>3.6818904403866806</v>
      </c>
      <c r="U77" s="222">
        <f t="shared" si="96"/>
        <v>1.9091283764967972</v>
      </c>
      <c r="V77" s="222">
        <f t="shared" si="97"/>
        <v>2.1039373945066746</v>
      </c>
      <c r="W77" s="202">
        <f t="shared" si="98"/>
        <v>350</v>
      </c>
      <c r="X77" s="452">
        <f t="shared" si="130"/>
        <v>249.18604803976308</v>
      </c>
      <c r="Z77" s="222">
        <f t="shared" si="99"/>
        <v>2.6213592233009715</v>
      </c>
      <c r="AA77" s="178">
        <f t="shared" si="100"/>
        <v>1.4979195561719838</v>
      </c>
      <c r="AB77" s="178">
        <f t="shared" si="101"/>
        <v>0.68715241775850722</v>
      </c>
      <c r="AC77" s="178"/>
      <c r="AD77" s="178">
        <f t="shared" si="102"/>
        <v>0.46857142857142853</v>
      </c>
      <c r="AE77" s="560">
        <f t="shared" si="103"/>
        <v>2998.2153480071388</v>
      </c>
      <c r="AF77" s="543">
        <f t="shared" si="104"/>
        <v>6.723999999999998E-2</v>
      </c>
      <c r="AH77" s="178">
        <f t="shared" si="105"/>
        <v>3.02803229702669</v>
      </c>
      <c r="AI77" s="178">
        <f t="shared" si="106"/>
        <v>3.02803229702669</v>
      </c>
      <c r="AJ77" s="178">
        <f t="shared" si="107"/>
        <v>2.8355794792790299</v>
      </c>
      <c r="AL77" s="560">
        <f t="shared" si="108"/>
        <v>576</v>
      </c>
      <c r="AM77" s="470">
        <f t="shared" si="109"/>
        <v>249.18604803976308</v>
      </c>
      <c r="AO77">
        <f t="shared" si="131"/>
        <v>576</v>
      </c>
      <c r="AP77">
        <f t="shared" si="110"/>
        <v>249.18604803976308</v>
      </c>
      <c r="AR77" s="6">
        <f t="shared" si="132"/>
        <v>4.0130657710034718</v>
      </c>
      <c r="AS77" s="6">
        <f t="shared" si="111"/>
        <v>1.570090820680506</v>
      </c>
      <c r="AT77" s="6">
        <f t="shared" si="133"/>
        <v>2.4429749503229656</v>
      </c>
      <c r="AU77" s="178">
        <f t="shared" si="134"/>
        <v>0.3912447266688836</v>
      </c>
      <c r="AW77" s="6">
        <f>L*Iout^2/(2*Vripple1_spec*Vout*Npri_sec1^2)*1000000000*((1+N77)/(1-N77))^2</f>
        <v>12.324950464868163</v>
      </c>
      <c r="AX77" s="6">
        <f>L*F77^2/(2*Cout*Vout*Nps^2)*1000000000*((1+N77)/(1-N77))^2+F77*RCoutEsr</f>
        <v>18.040989755713163</v>
      </c>
      <c r="AY77" s="6">
        <f>L*Iout2^2/(2*Vripple2_spec*Vout2*Npri_sec2^2)*1000000000*((1+N77)/(1-N77))^2</f>
        <v>4.8144337753391264</v>
      </c>
      <c r="AZ77" s="6">
        <f>L*G77^2/(2*Cout2*Vout2*Npri_sec2^2)*1000000000*((1+N77)/(1-N77))^2+G77*CoutEsr2</f>
        <v>7.4522616233254535</v>
      </c>
      <c r="BA77" s="6">
        <f>(H77+I77)/Efficiency/J77*AT77/Vinripple1</f>
        <v>3.1696766606919411</v>
      </c>
      <c r="BB77" s="470">
        <f>((BZ77/J77/Efficiency)*AT77/Cin+(BZ77/J77/Efficiency)*RCinEsr)*1000</f>
        <v>216.58054301775866</v>
      </c>
      <c r="BC77" s="6"/>
      <c r="BD77" s="178">
        <f t="shared" si="135"/>
        <v>1.0935134375398616</v>
      </c>
      <c r="BE77" s="178">
        <f t="shared" si="112"/>
        <v>1.3640215880007176</v>
      </c>
      <c r="BF77" s="178">
        <f t="shared" si="113"/>
        <v>0.85251349250044839</v>
      </c>
      <c r="BG77" s="178"/>
      <c r="BH77" s="543">
        <f t="shared" si="114"/>
        <v>0.13153488018882692</v>
      </c>
      <c r="BI77" s="543">
        <f t="shared" si="115"/>
        <v>9.714746293447904E-2</v>
      </c>
      <c r="BJ77" s="543">
        <f t="shared" si="116"/>
        <v>1.2459302401988153E-2</v>
      </c>
      <c r="BK77" s="543">
        <f t="shared" si="117"/>
        <v>3.717583289513221E-2</v>
      </c>
      <c r="BL77">
        <f t="shared" si="118"/>
        <v>3.9150000000000001E-3</v>
      </c>
      <c r="BM77" s="470">
        <f t="shared" si="136"/>
        <v>282.23247842042633</v>
      </c>
      <c r="BN77" s="178">
        <f t="shared" si="119"/>
        <v>0.23039999999999999</v>
      </c>
      <c r="BO77" s="178">
        <f t="shared" si="120"/>
        <v>0.14399999999999999</v>
      </c>
      <c r="BP77" s="543"/>
      <c r="BR77" s="470">
        <f t="shared" si="137"/>
        <v>374.4</v>
      </c>
      <c r="BS77" s="543">
        <f t="shared" si="121"/>
        <v>4.7830865523209795E-2</v>
      </c>
      <c r="BT77" s="543">
        <f t="shared" si="122"/>
        <v>7.4422195701279975E-2</v>
      </c>
      <c r="BU77" s="543">
        <f t="shared" si="123"/>
        <v>2.180337764685936E-2</v>
      </c>
      <c r="BV77" s="543">
        <f t="shared" si="124"/>
        <v>0</v>
      </c>
      <c r="BW77" s="648">
        <f t="shared" si="125"/>
        <v>8.5679317089263837E-2</v>
      </c>
      <c r="BX77" s="470">
        <f t="shared" si="138"/>
        <v>229.73575596061298</v>
      </c>
      <c r="BY77" s="178">
        <f t="shared" si="139"/>
        <v>0.88636823438103929</v>
      </c>
      <c r="BZ77" s="6">
        <f t="shared" si="140"/>
        <v>11.231999999999999</v>
      </c>
      <c r="CA77" s="178">
        <f t="shared" si="141"/>
        <v>0.92685745991227408</v>
      </c>
      <c r="CB77" s="6">
        <f t="shared" si="142"/>
        <v>92.685745991227407</v>
      </c>
      <c r="CC77">
        <f t="shared" si="143"/>
        <v>71.999999999999986</v>
      </c>
      <c r="CE77" s="577">
        <f t="shared" si="126"/>
        <v>-50</v>
      </c>
      <c r="CF77">
        <f t="shared" si="127"/>
        <v>-50</v>
      </c>
    </row>
    <row r="78" spans="5:84" x14ac:dyDescent="0.2">
      <c r="E78" s="175">
        <v>73</v>
      </c>
      <c r="F78" s="222">
        <f t="shared" si="144"/>
        <v>0.58399999999999996</v>
      </c>
      <c r="G78" s="222">
        <f t="shared" si="128"/>
        <v>0.36499999999999999</v>
      </c>
      <c r="H78" s="222">
        <f t="shared" si="86"/>
        <v>7.0079999999999991</v>
      </c>
      <c r="I78" s="222">
        <f t="shared" si="145"/>
        <v>4.38</v>
      </c>
      <c r="J78" s="556">
        <f t="shared" si="87"/>
        <v>13.5</v>
      </c>
      <c r="K78" s="452">
        <f t="shared" si="88"/>
        <v>12.25</v>
      </c>
      <c r="L78" s="452">
        <f t="shared" si="89"/>
        <v>25.75</v>
      </c>
      <c r="M78" s="452"/>
      <c r="N78" s="222">
        <f t="shared" si="90"/>
        <v>0.47572815533980584</v>
      </c>
      <c r="O78" s="177">
        <f t="shared" si="129"/>
        <v>7.6969156086631818</v>
      </c>
      <c r="P78" s="177">
        <f t="shared" si="91"/>
        <v>7.8171799150485421</v>
      </c>
      <c r="Q78" s="222">
        <f t="shared" si="92"/>
        <v>0.64140963405526519</v>
      </c>
      <c r="R78" s="222">
        <f t="shared" si="93"/>
        <v>0.64140963405526519</v>
      </c>
      <c r="S78" s="452">
        <f t="shared" si="94"/>
        <v>12</v>
      </c>
      <c r="T78" s="222">
        <f t="shared" si="95"/>
        <v>3.7330278076142731</v>
      </c>
      <c r="U78" s="222">
        <f t="shared" si="96"/>
        <v>1.9356440483925861</v>
      </c>
      <c r="V78" s="222">
        <f t="shared" si="97"/>
        <v>2.1331587472081561</v>
      </c>
      <c r="W78" s="202">
        <f t="shared" si="98"/>
        <v>350</v>
      </c>
      <c r="X78" s="452">
        <f t="shared" si="130"/>
        <v>245.77254053236905</v>
      </c>
      <c r="Z78" s="222">
        <f t="shared" si="99"/>
        <v>2.6213592233009715</v>
      </c>
      <c r="AA78" s="178">
        <f t="shared" si="100"/>
        <v>1.4979195561719838</v>
      </c>
      <c r="AB78" s="178">
        <f t="shared" si="101"/>
        <v>0.68715241775850722</v>
      </c>
      <c r="AC78" s="178"/>
      <c r="AD78" s="178">
        <f t="shared" si="102"/>
        <v>0.46857142857142853</v>
      </c>
      <c r="AE78" s="560">
        <f t="shared" si="103"/>
        <v>3039.8572278405718</v>
      </c>
      <c r="AF78" s="543">
        <f t="shared" si="104"/>
        <v>6.723999999999998E-2</v>
      </c>
      <c r="AH78" s="178">
        <f t="shared" si="105"/>
        <v>3.0489877878752223</v>
      </c>
      <c r="AI78" s="178">
        <f t="shared" si="106"/>
        <v>3.0489877878752223</v>
      </c>
      <c r="AJ78" s="178">
        <f t="shared" si="107"/>
        <v>2.8511020650927574</v>
      </c>
      <c r="AL78" s="560">
        <f t="shared" si="108"/>
        <v>584</v>
      </c>
      <c r="AM78" s="470">
        <f t="shared" si="109"/>
        <v>245.77254053236905</v>
      </c>
      <c r="AO78">
        <f t="shared" si="131"/>
        <v>584</v>
      </c>
      <c r="AP78">
        <f t="shared" si="110"/>
        <v>245.77254053236905</v>
      </c>
      <c r="AR78" s="6">
        <f t="shared" si="132"/>
        <v>4.0688027956007424</v>
      </c>
      <c r="AS78" s="6">
        <f t="shared" si="111"/>
        <v>1.5809566307501153</v>
      </c>
      <c r="AT78" s="6">
        <f t="shared" si="133"/>
        <v>2.4878461648506272</v>
      </c>
      <c r="AU78" s="178">
        <f t="shared" si="134"/>
        <v>0.38855572761095031</v>
      </c>
      <c r="AW78" s="6">
        <f>L*Iout^2/(2*Vripple1_spec*Vout*Npri_sec1^2)*1000000000*((1+N78)/(1-N78))^2</f>
        <v>12.324950464868163</v>
      </c>
      <c r="AX78" s="6">
        <f>L*F78^2/(2*Cout*Vout*Nps^2)*1000000000*((1+N78)/(1-N78))^2+F78*RCoutEsr</f>
        <v>18.521275155901893</v>
      </c>
      <c r="AY78" s="6">
        <f>L*Iout2^2/(2*Vripple2_spec*Vout2*Npri_sec2^2)*1000000000*((1+N78)/(1-N78))^2</f>
        <v>4.8144337753391264</v>
      </c>
      <c r="AZ78" s="6">
        <f>L*G78^2/(2*Cout2*Vout2*Npri_sec2^2)*1000000000*((1+N78)/(1-N78))^2+G78*CoutEsr2</f>
        <v>7.645498107774177</v>
      </c>
      <c r="BA78" s="6">
        <f>(H78+I78)/Efficiency/J78*AT78/Vinripple1</f>
        <v>3.2727274132200059</v>
      </c>
      <c r="BB78" s="470">
        <f>((BZ78/J78/Efficiency)*AT78/Cin+(BZ78/J78/Efficiency)*RCinEsr)*1000</f>
        <v>223.57296004147318</v>
      </c>
      <c r="BC78" s="6"/>
      <c r="BD78" s="178">
        <f t="shared" si="135"/>
        <v>1.0972907422694953</v>
      </c>
      <c r="BE78" s="178">
        <f t="shared" si="112"/>
        <v>1.3764913865090984</v>
      </c>
      <c r="BF78" s="178">
        <f t="shared" si="113"/>
        <v>0.86030711656818637</v>
      </c>
      <c r="BG78" s="178"/>
      <c r="BH78" s="543">
        <f t="shared" si="114"/>
        <v>0.1324451670377374</v>
      </c>
      <c r="BI78" s="543">
        <f t="shared" si="115"/>
        <v>9.6479774864826173E-2</v>
      </c>
      <c r="BJ78" s="543">
        <f t="shared" si="116"/>
        <v>1.2288627026618452E-2</v>
      </c>
      <c r="BK78" s="543">
        <f t="shared" si="117"/>
        <v>3.666657491026739E-2</v>
      </c>
      <c r="BL78">
        <f t="shared" si="118"/>
        <v>3.9150000000000001E-3</v>
      </c>
      <c r="BM78" s="470">
        <f t="shared" si="136"/>
        <v>281.79514383944945</v>
      </c>
      <c r="BN78" s="178">
        <f t="shared" si="119"/>
        <v>0.2336</v>
      </c>
      <c r="BO78" s="178">
        <f t="shared" si="120"/>
        <v>0.14599999999999999</v>
      </c>
      <c r="BP78" s="543"/>
      <c r="BR78" s="470">
        <f t="shared" si="137"/>
        <v>379.59999999999997</v>
      </c>
      <c r="BS78" s="543">
        <f t="shared" si="121"/>
        <v>4.8161878922813602E-2</v>
      </c>
      <c r="BT78" s="543">
        <f t="shared" si="122"/>
        <v>7.5789141485349612E-2</v>
      </c>
      <c r="BU78" s="543">
        <f t="shared" si="123"/>
        <v>2.2203850044536007E-2</v>
      </c>
      <c r="BV78" s="543">
        <f t="shared" si="124"/>
        <v>0</v>
      </c>
      <c r="BW78" s="648">
        <f t="shared" si="125"/>
        <v>8.567931708926381E-2</v>
      </c>
      <c r="BX78" s="470">
        <f t="shared" si="138"/>
        <v>231.83418754196305</v>
      </c>
      <c r="BY78" s="178">
        <f t="shared" si="139"/>
        <v>0.89322933138141247</v>
      </c>
      <c r="BZ78" s="6">
        <f t="shared" si="140"/>
        <v>11.387999999999998</v>
      </c>
      <c r="CA78" s="178">
        <f t="shared" si="141"/>
        <v>0.9272687361110501</v>
      </c>
      <c r="CB78" s="6">
        <f t="shared" si="142"/>
        <v>92.726873611105006</v>
      </c>
      <c r="CC78">
        <f t="shared" si="143"/>
        <v>72.999999999999986</v>
      </c>
      <c r="CE78" s="577">
        <f t="shared" si="126"/>
        <v>-50</v>
      </c>
      <c r="CF78">
        <f t="shared" si="127"/>
        <v>-50</v>
      </c>
    </row>
    <row r="79" spans="5:84" x14ac:dyDescent="0.2">
      <c r="E79" s="175">
        <v>74</v>
      </c>
      <c r="F79" s="222">
        <f t="shared" si="144"/>
        <v>0.59199999999999997</v>
      </c>
      <c r="G79" s="222">
        <f t="shared" si="128"/>
        <v>0.37</v>
      </c>
      <c r="H79" s="222">
        <f t="shared" si="86"/>
        <v>7.1039999999999992</v>
      </c>
      <c r="I79" s="222">
        <f t="shared" si="145"/>
        <v>4.4399999999999995</v>
      </c>
      <c r="J79" s="556">
        <f t="shared" si="87"/>
        <v>13.5</v>
      </c>
      <c r="K79" s="452">
        <f t="shared" si="88"/>
        <v>12.25</v>
      </c>
      <c r="L79" s="452">
        <f t="shared" si="89"/>
        <v>25.75</v>
      </c>
      <c r="M79" s="452"/>
      <c r="N79" s="222">
        <f t="shared" si="90"/>
        <v>0.47572815533980584</v>
      </c>
      <c r="O79" s="177">
        <f t="shared" si="129"/>
        <v>7.6969156086631818</v>
      </c>
      <c r="P79" s="177">
        <f t="shared" si="91"/>
        <v>7.8171799150485421</v>
      </c>
      <c r="Q79" s="222">
        <f t="shared" si="92"/>
        <v>0.64140963405526519</v>
      </c>
      <c r="R79" s="222">
        <f t="shared" si="93"/>
        <v>0.64140963405526519</v>
      </c>
      <c r="S79" s="452">
        <f t="shared" si="94"/>
        <v>12</v>
      </c>
      <c r="T79" s="222">
        <f t="shared" si="95"/>
        <v>3.7841651748418661</v>
      </c>
      <c r="U79" s="222">
        <f t="shared" si="96"/>
        <v>1.9621597202883749</v>
      </c>
      <c r="V79" s="222">
        <f t="shared" si="97"/>
        <v>2.1623800999096376</v>
      </c>
      <c r="W79" s="202">
        <f t="shared" si="98"/>
        <v>350</v>
      </c>
      <c r="X79" s="452">
        <f t="shared" si="130"/>
        <v>242.45128998463434</v>
      </c>
      <c r="Z79" s="222">
        <f t="shared" si="99"/>
        <v>2.6213592233009715</v>
      </c>
      <c r="AA79" s="178">
        <f t="shared" si="100"/>
        <v>1.4979195561719838</v>
      </c>
      <c r="AB79" s="178">
        <f t="shared" si="101"/>
        <v>0.68715241775850722</v>
      </c>
      <c r="AC79" s="178"/>
      <c r="AD79" s="178">
        <f t="shared" si="102"/>
        <v>0.46857142857142853</v>
      </c>
      <c r="AE79" s="560">
        <f t="shared" si="103"/>
        <v>3081.4991076740039</v>
      </c>
      <c r="AF79" s="543">
        <f t="shared" si="104"/>
        <v>6.723999999999998E-2</v>
      </c>
      <c r="AH79" s="178">
        <f t="shared" si="105"/>
        <v>3.0698002328144667</v>
      </c>
      <c r="AI79" s="178">
        <f t="shared" si="106"/>
        <v>3.0698002328144667</v>
      </c>
      <c r="AJ79" s="178">
        <f t="shared" si="107"/>
        <v>2.8665186909736793</v>
      </c>
      <c r="AL79" s="560">
        <f t="shared" si="108"/>
        <v>592</v>
      </c>
      <c r="AM79" s="470">
        <f t="shared" si="109"/>
        <v>242.45128998463434</v>
      </c>
      <c r="AO79">
        <f t="shared" si="131"/>
        <v>592</v>
      </c>
      <c r="AP79">
        <f t="shared" si="110"/>
        <v>242.45128998463434</v>
      </c>
      <c r="AR79" s="6">
        <f t="shared" si="132"/>
        <v>4.124539820198013</v>
      </c>
      <c r="AS79" s="6">
        <f t="shared" si="111"/>
        <v>1.5917482688667606</v>
      </c>
      <c r="AT79" s="6">
        <f t="shared" si="133"/>
        <v>2.5327915513312522</v>
      </c>
      <c r="AU79" s="178">
        <f t="shared" si="134"/>
        <v>0.38592142111755467</v>
      </c>
      <c r="AW79" s="6">
        <f>L*Iout^2/(2*Vripple1_spec*Vout*Npri_sec1^2)*1000000000*((1+N79)/(1-N79))^2</f>
        <v>12.324950464868163</v>
      </c>
      <c r="AX79" s="6">
        <f>L*F79^2/(2*Cout*Vout*Nps^2)*1000000000*((1+N79)/(1-N79))^2+F79*RCoutEsr</f>
        <v>19.007854147817373</v>
      </c>
      <c r="AY79" s="6">
        <f>L*Iout2^2/(2*Vripple2_spec*Vout2*Npri_sec2^2)*1000000000*((1+N79)/(1-N79))^2</f>
        <v>4.8144337753391264</v>
      </c>
      <c r="AZ79" s="6">
        <f>L*G79^2/(2*Cout2*Vout2*Npri_sec2^2)*1000000000*((1+N79)/(1-N79))^2+G79*CoutEsr2</f>
        <v>7.8411930264911618</v>
      </c>
      <c r="BA79" s="6">
        <f>(H79+I79)/Efficiency/J79*AT79/Vinripple1</f>
        <v>3.3774942653749731</v>
      </c>
      <c r="BB79" s="470">
        <f>((BZ79/J79/Efficiency)*AT79/Cin+(BZ79/J79/Efficiency)*RCinEsr)*1000</f>
        <v>230.68121379000368</v>
      </c>
      <c r="BC79" s="6"/>
      <c r="BD79" s="178">
        <f t="shared" si="135"/>
        <v>1.1010294360966495</v>
      </c>
      <c r="BE79" s="178">
        <f t="shared" si="112"/>
        <v>1.3888695657420864</v>
      </c>
      <c r="BF79" s="178">
        <f t="shared" si="113"/>
        <v>0.86804347858880382</v>
      </c>
      <c r="BG79" s="178"/>
      <c r="BH79" s="543">
        <f t="shared" si="114"/>
        <v>0.13334924010664367</v>
      </c>
      <c r="BI79" s="543">
        <f t="shared" si="115"/>
        <v>9.5825667154278538E-2</v>
      </c>
      <c r="BJ79" s="543">
        <f t="shared" si="116"/>
        <v>1.2122564499231717E-2</v>
      </c>
      <c r="BK79" s="543">
        <f t="shared" si="117"/>
        <v>3.6171080654723235E-2</v>
      </c>
      <c r="BL79">
        <f t="shared" si="118"/>
        <v>3.9150000000000001E-3</v>
      </c>
      <c r="BM79" s="470">
        <f t="shared" si="136"/>
        <v>281.38355241487716</v>
      </c>
      <c r="BN79" s="178">
        <f t="shared" si="119"/>
        <v>0.23680000000000001</v>
      </c>
      <c r="BO79" s="178">
        <f t="shared" si="120"/>
        <v>0.14799999999999999</v>
      </c>
      <c r="BP79" s="543"/>
      <c r="BR79" s="470">
        <f t="shared" si="137"/>
        <v>384.8</v>
      </c>
      <c r="BS79" s="543">
        <f t="shared" si="121"/>
        <v>4.8490632766052241E-2</v>
      </c>
      <c r="BT79" s="543">
        <f t="shared" si="122"/>
        <v>7.7158346825784471E-2</v>
      </c>
      <c r="BU79" s="543">
        <f t="shared" si="123"/>
        <v>2.2604984421616531E-2</v>
      </c>
      <c r="BV79" s="543">
        <f t="shared" si="124"/>
        <v>0</v>
      </c>
      <c r="BW79" s="648">
        <f t="shared" si="125"/>
        <v>8.5679317089263837E-2</v>
      </c>
      <c r="BX79" s="470">
        <f t="shared" si="138"/>
        <v>233.9332811027171</v>
      </c>
      <c r="BY79" s="178">
        <f t="shared" si="139"/>
        <v>0.90011683351759431</v>
      </c>
      <c r="BZ79" s="6">
        <f t="shared" si="140"/>
        <v>11.543999999999999</v>
      </c>
      <c r="CA79" s="178">
        <f t="shared" si="141"/>
        <v>0.92766727879851008</v>
      </c>
      <c r="CB79" s="6">
        <f t="shared" si="142"/>
        <v>92.766727879851004</v>
      </c>
      <c r="CC79">
        <f t="shared" si="143"/>
        <v>73.999999999999986</v>
      </c>
      <c r="CE79" s="577">
        <f t="shared" si="126"/>
        <v>-50</v>
      </c>
      <c r="CF79">
        <f t="shared" si="127"/>
        <v>-50</v>
      </c>
    </row>
    <row r="80" spans="5:84" x14ac:dyDescent="0.2">
      <c r="E80" s="175">
        <v>75</v>
      </c>
      <c r="F80" s="222">
        <f t="shared" si="144"/>
        <v>0.60000000000000009</v>
      </c>
      <c r="G80" s="222">
        <f t="shared" si="128"/>
        <v>0.375</v>
      </c>
      <c r="H80" s="222">
        <f t="shared" si="86"/>
        <v>7.2000000000000011</v>
      </c>
      <c r="I80" s="222">
        <f t="shared" si="145"/>
        <v>4.5</v>
      </c>
      <c r="J80" s="556">
        <f t="shared" si="87"/>
        <v>13.5</v>
      </c>
      <c r="K80" s="452">
        <f t="shared" si="88"/>
        <v>12.25</v>
      </c>
      <c r="L80" s="452">
        <f t="shared" si="89"/>
        <v>25.75</v>
      </c>
      <c r="M80" s="452"/>
      <c r="N80" s="222">
        <f t="shared" si="90"/>
        <v>0.47572815533980584</v>
      </c>
      <c r="O80" s="177">
        <f t="shared" si="129"/>
        <v>7.6969156086631818</v>
      </c>
      <c r="P80" s="177">
        <f t="shared" si="91"/>
        <v>7.8171799150485421</v>
      </c>
      <c r="Q80" s="222">
        <f t="shared" si="92"/>
        <v>0.64140963405526519</v>
      </c>
      <c r="R80" s="222">
        <f t="shared" si="93"/>
        <v>0.64140963405526519</v>
      </c>
      <c r="S80" s="452">
        <f t="shared" si="94"/>
        <v>12</v>
      </c>
      <c r="T80" s="222">
        <f t="shared" si="95"/>
        <v>3.8353025420694595</v>
      </c>
      <c r="U80" s="222">
        <f t="shared" si="96"/>
        <v>1.9886753921841642</v>
      </c>
      <c r="V80" s="222">
        <f t="shared" si="97"/>
        <v>2.19160145261112</v>
      </c>
      <c r="W80" s="202">
        <f t="shared" si="98"/>
        <v>350</v>
      </c>
      <c r="X80" s="452">
        <f t="shared" si="130"/>
        <v>239.21860611817246</v>
      </c>
      <c r="Z80" s="222">
        <f t="shared" si="99"/>
        <v>2.6213592233009715</v>
      </c>
      <c r="AA80" s="178">
        <f t="shared" si="100"/>
        <v>1.4979195561719838</v>
      </c>
      <c r="AB80" s="178">
        <f t="shared" si="101"/>
        <v>0.68715241775850722</v>
      </c>
      <c r="AC80" s="178"/>
      <c r="AD80" s="178">
        <f t="shared" si="102"/>
        <v>0.46857142857142853</v>
      </c>
      <c r="AE80" s="560">
        <f t="shared" si="103"/>
        <v>3123.1409875074373</v>
      </c>
      <c r="AF80" s="543">
        <f t="shared" si="104"/>
        <v>6.723999999999998E-2</v>
      </c>
      <c r="AH80" s="178">
        <f t="shared" si="105"/>
        <v>3.0904725218262765</v>
      </c>
      <c r="AI80" s="178">
        <f t="shared" si="106"/>
        <v>3.0904725218262765</v>
      </c>
      <c r="AJ80" s="178">
        <f t="shared" si="107"/>
        <v>2.881831497649094</v>
      </c>
      <c r="AL80" s="560">
        <f t="shared" si="108"/>
        <v>600.00000000000011</v>
      </c>
      <c r="AM80" s="470">
        <f t="shared" si="109"/>
        <v>239.21860611817246</v>
      </c>
      <c r="AO80">
        <f t="shared" si="131"/>
        <v>600.00000000000011</v>
      </c>
      <c r="AP80">
        <f t="shared" si="110"/>
        <v>239.21860611817246</v>
      </c>
      <c r="AR80" s="6">
        <f t="shared" si="132"/>
        <v>4.1802768447952854</v>
      </c>
      <c r="AS80" s="6">
        <f t="shared" si="111"/>
        <v>1.6024672335395509</v>
      </c>
      <c r="AT80" s="6">
        <f t="shared" si="133"/>
        <v>2.5778096112557343</v>
      </c>
      <c r="AU80" s="178">
        <f t="shared" si="134"/>
        <v>0.38333997795737523</v>
      </c>
      <c r="AW80" s="6">
        <f>L*Iout^2/(2*Vripple1_spec*Vout*Npri_sec1^2)*1000000000*((1+N80)/(1-N80))^2</f>
        <v>12.324950464868163</v>
      </c>
      <c r="AX80" s="6">
        <f>L*F80^2/(2*Cout*Vout*Nps^2)*1000000000*((1+N80)/(1-N80))^2+F80*RCoutEsr</f>
        <v>19.500726731459597</v>
      </c>
      <c r="AY80" s="6">
        <f>L*Iout2^2/(2*Vripple2_spec*Vout2*Npri_sec2^2)*1000000000*((1+N80)/(1-N80))^2</f>
        <v>4.8144337753391264</v>
      </c>
      <c r="AZ80" s="6">
        <f>L*G80^2/(2*Cout2*Vout2*Npri_sec2^2)*1000000000*((1+N80)/(1-N80))^2+G80*CoutEsr2</f>
        <v>8.0393463794764042</v>
      </c>
      <c r="BA80" s="6">
        <f>(H80+I80)/Efficiency/J80*AT80/Vinripple1</f>
        <v>3.4839792016971591</v>
      </c>
      <c r="BB80" s="470">
        <f>((BZ80/J80/Efficiency)*AT80/Cin+(BZ80/J80/Efficiency)*RCinEsr)*1000</f>
        <v>237.90543821982141</v>
      </c>
      <c r="BC80" s="6"/>
      <c r="BD80" s="178">
        <f t="shared" si="135"/>
        <v>1.1047304275607612</v>
      </c>
      <c r="BE80" s="178">
        <f t="shared" si="112"/>
        <v>1.4011581466091445</v>
      </c>
      <c r="BF80" s="178">
        <f t="shared" si="113"/>
        <v>0.87572384163071515</v>
      </c>
      <c r="BG80" s="178"/>
      <c r="BH80" s="543">
        <f t="shared" si="114"/>
        <v>0.13424722493364405</v>
      </c>
      <c r="BI80" s="543">
        <f t="shared" si="115"/>
        <v>9.5184685598166119E-2</v>
      </c>
      <c r="BJ80" s="543">
        <f t="shared" si="116"/>
        <v>1.1960930305908621E-2</v>
      </c>
      <c r="BK80" s="543">
        <f t="shared" si="117"/>
        <v>3.5688799579326913E-2</v>
      </c>
      <c r="BL80">
        <f t="shared" si="118"/>
        <v>3.9150000000000001E-3</v>
      </c>
      <c r="BM80" s="470">
        <f t="shared" si="136"/>
        <v>280.99664041704568</v>
      </c>
      <c r="BN80" s="178">
        <f t="shared" si="119"/>
        <v>0.24000000000000005</v>
      </c>
      <c r="BO80" s="178">
        <f t="shared" si="120"/>
        <v>0.15000000000000002</v>
      </c>
      <c r="BP80" s="543"/>
      <c r="BR80" s="470">
        <f t="shared" si="137"/>
        <v>390.00000000000006</v>
      </c>
      <c r="BS80" s="543">
        <f t="shared" si="121"/>
        <v>4.8817172703143293E-2</v>
      </c>
      <c r="BT80" s="543">
        <f t="shared" si="122"/>
        <v>7.8529766072366919E-2</v>
      </c>
      <c r="BU80" s="543">
        <f t="shared" si="123"/>
        <v>2.3006767404013737E-2</v>
      </c>
      <c r="BV80" s="543">
        <f t="shared" si="124"/>
        <v>0</v>
      </c>
      <c r="BW80" s="648">
        <f t="shared" si="125"/>
        <v>8.567931708926381E-2</v>
      </c>
      <c r="BX80" s="470">
        <f t="shared" si="138"/>
        <v>236.03302326878773</v>
      </c>
      <c r="BY80" s="178">
        <f t="shared" si="139"/>
        <v>0.9070296636858336</v>
      </c>
      <c r="BZ80" s="6">
        <f t="shared" si="140"/>
        <v>11.700000000000001</v>
      </c>
      <c r="CA80" s="178">
        <f t="shared" si="141"/>
        <v>0.92805365832536235</v>
      </c>
      <c r="CB80" s="6">
        <f t="shared" si="142"/>
        <v>92.805365832536239</v>
      </c>
      <c r="CC80">
        <f t="shared" si="143"/>
        <v>75.000000000000014</v>
      </c>
      <c r="CE80" s="577">
        <f t="shared" si="126"/>
        <v>-50</v>
      </c>
      <c r="CF80">
        <f t="shared" si="127"/>
        <v>-50</v>
      </c>
    </row>
    <row r="81" spans="5:84" x14ac:dyDescent="0.2">
      <c r="E81" s="175">
        <v>76</v>
      </c>
      <c r="F81" s="222">
        <f t="shared" si="144"/>
        <v>0.6080000000000001</v>
      </c>
      <c r="G81" s="222">
        <f t="shared" si="128"/>
        <v>0.38</v>
      </c>
      <c r="H81" s="222">
        <f t="shared" si="86"/>
        <v>7.2960000000000012</v>
      </c>
      <c r="I81" s="222">
        <f t="shared" si="145"/>
        <v>4.5600000000000005</v>
      </c>
      <c r="J81" s="556">
        <f t="shared" si="87"/>
        <v>13.5</v>
      </c>
      <c r="K81" s="452">
        <f t="shared" si="88"/>
        <v>12.25</v>
      </c>
      <c r="L81" s="452">
        <f t="shared" si="89"/>
        <v>25.75</v>
      </c>
      <c r="M81" s="452"/>
      <c r="N81" s="222">
        <f t="shared" si="90"/>
        <v>0.47572815533980584</v>
      </c>
      <c r="O81" s="177">
        <f t="shared" si="129"/>
        <v>7.6969156086631818</v>
      </c>
      <c r="P81" s="177">
        <f t="shared" si="91"/>
        <v>7.8171799150485421</v>
      </c>
      <c r="Q81" s="222">
        <f t="shared" si="92"/>
        <v>0.64140963405526519</v>
      </c>
      <c r="R81" s="222">
        <f t="shared" si="93"/>
        <v>0.64140963405526519</v>
      </c>
      <c r="S81" s="452">
        <f t="shared" si="94"/>
        <v>12</v>
      </c>
      <c r="T81" s="222">
        <f t="shared" si="95"/>
        <v>3.8864399092970525</v>
      </c>
      <c r="U81" s="222">
        <f t="shared" si="96"/>
        <v>2.0151910640799531</v>
      </c>
      <c r="V81" s="222">
        <f t="shared" si="97"/>
        <v>2.2208228053126011</v>
      </c>
      <c r="W81" s="202">
        <f t="shared" si="98"/>
        <v>350</v>
      </c>
      <c r="X81" s="452">
        <f t="shared" si="130"/>
        <v>236.0709928797755</v>
      </c>
      <c r="Z81" s="222">
        <f t="shared" si="99"/>
        <v>2.6213592233009715</v>
      </c>
      <c r="AA81" s="178">
        <f t="shared" si="100"/>
        <v>1.4979195561719838</v>
      </c>
      <c r="AB81" s="178">
        <f t="shared" si="101"/>
        <v>0.68715241775850722</v>
      </c>
      <c r="AC81" s="178"/>
      <c r="AD81" s="178">
        <f t="shared" si="102"/>
        <v>0.46857142857142853</v>
      </c>
      <c r="AE81" s="560">
        <f t="shared" si="103"/>
        <v>3164.7828673408699</v>
      </c>
      <c r="AF81" s="543">
        <f t="shared" si="104"/>
        <v>6.723999999999998E-2</v>
      </c>
      <c r="AH81" s="178">
        <f t="shared" si="105"/>
        <v>3.1110074488722743</v>
      </c>
      <c r="AI81" s="178">
        <f t="shared" si="106"/>
        <v>3.1110074488722743</v>
      </c>
      <c r="AJ81" s="178">
        <f t="shared" si="107"/>
        <v>2.8970425547202034</v>
      </c>
      <c r="AL81" s="560">
        <f t="shared" si="108"/>
        <v>608.00000000000011</v>
      </c>
      <c r="AM81" s="470">
        <f t="shared" si="109"/>
        <v>236.0709928797755</v>
      </c>
      <c r="AO81">
        <f t="shared" si="131"/>
        <v>608.00000000000011</v>
      </c>
      <c r="AP81">
        <f t="shared" si="110"/>
        <v>236.0709928797755</v>
      </c>
      <c r="AR81" s="6">
        <f t="shared" si="132"/>
        <v>4.2360138693925551</v>
      </c>
      <c r="AS81" s="6">
        <f t="shared" si="111"/>
        <v>1.6131149734893273</v>
      </c>
      <c r="AT81" s="6">
        <f t="shared" si="133"/>
        <v>2.6228988959032278</v>
      </c>
      <c r="AU81" s="178">
        <f t="shared" si="134"/>
        <v>0.38080965342085815</v>
      </c>
      <c r="AW81" s="6">
        <f>L*Iout^2/(2*Vripple1_spec*Vout*Npri_sec1^2)*1000000000*((1+N81)/(1-N81))^2</f>
        <v>12.324950464868163</v>
      </c>
      <c r="AX81" s="6">
        <f>L*F81^2/(2*Cout*Vout*Nps^2)*1000000000*((1+N81)/(1-N81))^2+F81*RCoutEsr</f>
        <v>19.99989290682856</v>
      </c>
      <c r="AY81" s="6">
        <f>L*Iout2^2/(2*Vripple2_spec*Vout2*Npri_sec2^2)*1000000000*((1+N81)/(1-N81))^2</f>
        <v>4.8144337753391264</v>
      </c>
      <c r="AZ81" s="6">
        <f>L*G81^2/(2*Cout2*Vout2*Npri_sec2^2)*1000000000*((1+N81)/(1-N81))^2+G81*CoutEsr2</f>
        <v>8.2399581667299024</v>
      </c>
      <c r="BA81" s="6">
        <f>(H81+I81)/Efficiency/J81*AT81/Vinripple1</f>
        <v>3.5921841668995653</v>
      </c>
      <c r="BB81" s="470">
        <f>((BZ81/J81/Efficiency)*AT81/Cin+(BZ81/J81/Efficiency)*RCinEsr)*1000</f>
        <v>245.24576459905398</v>
      </c>
      <c r="BC81" s="6"/>
      <c r="BD81" s="178">
        <f t="shared" si="135"/>
        <v>1.108394592051571</v>
      </c>
      <c r="BE81" s="178">
        <f t="shared" si="112"/>
        <v>1.4133590758510108</v>
      </c>
      <c r="BF81" s="178">
        <f t="shared" si="113"/>
        <v>0.88334942240688163</v>
      </c>
      <c r="BG81" s="178"/>
      <c r="BH81" s="543">
        <f t="shared" si="114"/>
        <v>0.13513924288580853</v>
      </c>
      <c r="BI81" s="543">
        <f t="shared" si="115"/>
        <v>9.455639697887562E-2</v>
      </c>
      <c r="BJ81" s="543">
        <f t="shared" si="116"/>
        <v>1.1803549643988774E-2</v>
      </c>
      <c r="BK81" s="543">
        <f t="shared" si="117"/>
        <v>3.521921011117788E-2</v>
      </c>
      <c r="BL81">
        <f t="shared" si="118"/>
        <v>3.9150000000000001E-3</v>
      </c>
      <c r="BM81" s="470">
        <f t="shared" si="136"/>
        <v>280.63339961985082</v>
      </c>
      <c r="BN81" s="178">
        <f t="shared" si="119"/>
        <v>0.24320000000000006</v>
      </c>
      <c r="BO81" s="178">
        <f t="shared" si="120"/>
        <v>0.15200000000000002</v>
      </c>
      <c r="BP81" s="543"/>
      <c r="BR81" s="470">
        <f t="shared" si="137"/>
        <v>395.2000000000001</v>
      </c>
      <c r="BS81" s="543">
        <f t="shared" si="121"/>
        <v>4.9141542867566737E-2</v>
      </c>
      <c r="BT81" s="543">
        <f t="shared" si="122"/>
        <v>7.9903355091616932E-2</v>
      </c>
      <c r="BU81" s="543">
        <f t="shared" si="123"/>
        <v>2.3409186061997142E-2</v>
      </c>
      <c r="BV81" s="543">
        <f t="shared" si="124"/>
        <v>0</v>
      </c>
      <c r="BW81" s="648">
        <f t="shared" si="125"/>
        <v>8.5679317089263837E-2</v>
      </c>
      <c r="BX81" s="470">
        <f t="shared" si="138"/>
        <v>238.13340111044468</v>
      </c>
      <c r="BY81" s="178">
        <f t="shared" si="139"/>
        <v>0.91396680073029557</v>
      </c>
      <c r="BZ81" s="6">
        <f t="shared" si="140"/>
        <v>11.856000000000002</v>
      </c>
      <c r="CA81" s="178">
        <f t="shared" si="141"/>
        <v>0.92842841214919791</v>
      </c>
      <c r="CB81" s="6">
        <f t="shared" si="142"/>
        <v>92.842841214919787</v>
      </c>
      <c r="CC81">
        <f t="shared" si="143"/>
        <v>76.000000000000014</v>
      </c>
      <c r="CE81" s="577">
        <f t="shared" si="126"/>
        <v>-50</v>
      </c>
      <c r="CF81">
        <f t="shared" si="127"/>
        <v>-50</v>
      </c>
    </row>
    <row r="82" spans="5:84" x14ac:dyDescent="0.2">
      <c r="E82" s="175">
        <v>77</v>
      </c>
      <c r="F82" s="222">
        <f t="shared" si="144"/>
        <v>0.6160000000000001</v>
      </c>
      <c r="G82" s="222">
        <f t="shared" si="128"/>
        <v>0.38500000000000001</v>
      </c>
      <c r="H82" s="222">
        <f t="shared" si="86"/>
        <v>7.3920000000000012</v>
      </c>
      <c r="I82" s="222">
        <f t="shared" si="145"/>
        <v>4.62</v>
      </c>
      <c r="J82" s="556">
        <f t="shared" si="87"/>
        <v>13.5</v>
      </c>
      <c r="K82" s="452">
        <f t="shared" si="88"/>
        <v>12.25</v>
      </c>
      <c r="L82" s="452">
        <f t="shared" si="89"/>
        <v>25.75</v>
      </c>
      <c r="M82" s="452"/>
      <c r="N82" s="222">
        <f t="shared" si="90"/>
        <v>0.47572815533980584</v>
      </c>
      <c r="O82" s="177">
        <f t="shared" si="129"/>
        <v>7.6969156086631818</v>
      </c>
      <c r="P82" s="177">
        <f t="shared" si="91"/>
        <v>7.8171799150485421</v>
      </c>
      <c r="Q82" s="222">
        <f t="shared" si="92"/>
        <v>0.64140963405526519</v>
      </c>
      <c r="R82" s="222">
        <f t="shared" si="93"/>
        <v>0.64140963405526519</v>
      </c>
      <c r="S82" s="452">
        <f t="shared" si="94"/>
        <v>12</v>
      </c>
      <c r="T82" s="222">
        <f t="shared" si="95"/>
        <v>3.9375772765246451</v>
      </c>
      <c r="U82" s="222">
        <f t="shared" si="96"/>
        <v>2.0417067359757421</v>
      </c>
      <c r="V82" s="222">
        <f t="shared" si="97"/>
        <v>2.2500441580140826</v>
      </c>
      <c r="W82" s="202">
        <f t="shared" si="98"/>
        <v>350</v>
      </c>
      <c r="X82" s="452">
        <f t="shared" si="130"/>
        <v>233.00513582938882</v>
      </c>
      <c r="Z82" s="222">
        <f t="shared" si="99"/>
        <v>2.6213592233009715</v>
      </c>
      <c r="AA82" s="178">
        <f t="shared" si="100"/>
        <v>1.4979195561719838</v>
      </c>
      <c r="AB82" s="178">
        <f t="shared" si="101"/>
        <v>0.68715241775850722</v>
      </c>
      <c r="AC82" s="178"/>
      <c r="AD82" s="178">
        <f t="shared" si="102"/>
        <v>0.46857142857142853</v>
      </c>
      <c r="AE82" s="560">
        <f t="shared" si="103"/>
        <v>3206.424747174302</v>
      </c>
      <c r="AF82" s="543">
        <f t="shared" si="104"/>
        <v>6.723999999999998E-2</v>
      </c>
      <c r="AH82" s="178">
        <f t="shared" si="105"/>
        <v>3.1314077163017733</v>
      </c>
      <c r="AI82" s="178">
        <f t="shared" si="106"/>
        <v>3.1314077163017733</v>
      </c>
      <c r="AJ82" s="178">
        <f t="shared" si="107"/>
        <v>2.9121538639272395</v>
      </c>
      <c r="AL82" s="560">
        <f t="shared" si="108"/>
        <v>616.00000000000011</v>
      </c>
      <c r="AM82" s="470">
        <f t="shared" si="109"/>
        <v>233.00513582938882</v>
      </c>
      <c r="AO82">
        <f t="shared" si="131"/>
        <v>616.00000000000011</v>
      </c>
      <c r="AP82">
        <f t="shared" si="110"/>
        <v>233.00513582938882</v>
      </c>
      <c r="AR82" s="6">
        <f t="shared" si="132"/>
        <v>4.2917508939898248</v>
      </c>
      <c r="AS82" s="6">
        <f t="shared" si="111"/>
        <v>1.6236928899342529</v>
      </c>
      <c r="AT82" s="6">
        <f t="shared" si="133"/>
        <v>2.6680580040555721</v>
      </c>
      <c r="AU82" s="178">
        <f t="shared" si="134"/>
        <v>0.37832878236434347</v>
      </c>
      <c r="AW82" s="6">
        <f>L*Iout^2/(2*Vripple1_spec*Vout*Npri_sec1^2)*1000000000*((1+N82)/(1-N82))^2</f>
        <v>12.324950464868163</v>
      </c>
      <c r="AX82" s="6">
        <f>L*F82^2/(2*Cout*Vout*Nps^2)*1000000000*((1+N82)/(1-N82))^2+F82*RCoutEsr</f>
        <v>20.505352673924261</v>
      </c>
      <c r="AY82" s="6">
        <f>L*Iout2^2/(2*Vripple2_spec*Vout2*Npri_sec2^2)*1000000000*((1+N82)/(1-N82))^2</f>
        <v>4.8144337753391264</v>
      </c>
      <c r="AZ82" s="6">
        <f>L*G82^2/(2*Cout2*Vout2*Npri_sec2^2)*1000000000*((1+N82)/(1-N82))^2+G82*CoutEsr2</f>
        <v>8.4430283882516619</v>
      </c>
      <c r="BA82" s="6">
        <f>(H82+I82)/Efficiency/J82*AT82/Vinripple1</f>
        <v>3.7021110671825035</v>
      </c>
      <c r="BB82" s="470">
        <f>((BZ82/J82/Efficiency)*AT82/Cin+(BZ82/J82/Efficiency)*RCinEsr)*1000</f>
        <v>252.70232159622253</v>
      </c>
      <c r="BC82" s="6"/>
      <c r="BD82" s="178">
        <f t="shared" si="135"/>
        <v>1.1120227734369073</v>
      </c>
      <c r="BE82" s="178">
        <f t="shared" si="112"/>
        <v>1.425474229836905</v>
      </c>
      <c r="BF82" s="178">
        <f t="shared" si="113"/>
        <v>0.89092139364806544</v>
      </c>
      <c r="BG82" s="178"/>
      <c r="BH82" s="543">
        <f t="shared" si="114"/>
        <v>0.13602541135065424</v>
      </c>
      <c r="BI82" s="543">
        <f t="shared" si="115"/>
        <v>9.3940387835289199E-2</v>
      </c>
      <c r="BJ82" s="543">
        <f t="shared" si="116"/>
        <v>1.165025679146944E-2</v>
      </c>
      <c r="BK82" s="543">
        <f t="shared" si="117"/>
        <v>3.4761817772071671E-2</v>
      </c>
      <c r="BL82">
        <f t="shared" si="118"/>
        <v>3.9150000000000001E-3</v>
      </c>
      <c r="BM82" s="470">
        <f t="shared" si="136"/>
        <v>280.29287374948456</v>
      </c>
      <c r="BN82" s="178">
        <f t="shared" si="119"/>
        <v>0.24640000000000006</v>
      </c>
      <c r="BO82" s="178">
        <f t="shared" si="120"/>
        <v>0.15400000000000003</v>
      </c>
      <c r="BP82" s="543"/>
      <c r="BR82" s="470">
        <f t="shared" si="137"/>
        <v>400.40000000000009</v>
      </c>
      <c r="BS82" s="543">
        <f t="shared" si="121"/>
        <v>4.9463785945692451E-2</v>
      </c>
      <c r="BT82" s="543">
        <f t="shared" si="122"/>
        <v>8.1279071197164696E-2</v>
      </c>
      <c r="BU82" s="543">
        <f t="shared" si="123"/>
        <v>2.3812227889794334E-2</v>
      </c>
      <c r="BV82" s="543">
        <f t="shared" si="124"/>
        <v>0</v>
      </c>
      <c r="BW82" s="648">
        <f t="shared" si="125"/>
        <v>8.5679317089263851E-2</v>
      </c>
      <c r="BX82" s="470">
        <f t="shared" si="138"/>
        <v>240.23440212191537</v>
      </c>
      <c r="BY82" s="178">
        <f t="shared" si="139"/>
        <v>0.9209272758714</v>
      </c>
      <c r="BZ82" s="6">
        <f t="shared" si="140"/>
        <v>12.012</v>
      </c>
      <c r="CA82" s="178">
        <f t="shared" si="141"/>
        <v>0.92879204713463848</v>
      </c>
      <c r="CB82" s="6">
        <f t="shared" si="142"/>
        <v>92.879204713463849</v>
      </c>
      <c r="CC82">
        <f t="shared" si="143"/>
        <v>77.000000000000014</v>
      </c>
      <c r="CE82" s="577">
        <f t="shared" si="126"/>
        <v>-50</v>
      </c>
      <c r="CF82">
        <f t="shared" si="127"/>
        <v>-50</v>
      </c>
    </row>
    <row r="83" spans="5:84" x14ac:dyDescent="0.2">
      <c r="E83" s="175">
        <v>78</v>
      </c>
      <c r="F83" s="222">
        <f t="shared" si="144"/>
        <v>0.62400000000000011</v>
      </c>
      <c r="G83" s="222">
        <f t="shared" si="128"/>
        <v>0.39</v>
      </c>
      <c r="H83" s="222">
        <f t="shared" si="86"/>
        <v>7.4880000000000013</v>
      </c>
      <c r="I83" s="222">
        <f t="shared" si="145"/>
        <v>4.68</v>
      </c>
      <c r="J83" s="556">
        <f t="shared" si="87"/>
        <v>13.5</v>
      </c>
      <c r="K83" s="452">
        <f t="shared" si="88"/>
        <v>12.25</v>
      </c>
      <c r="L83" s="452">
        <f t="shared" si="89"/>
        <v>25.75</v>
      </c>
      <c r="M83" s="452"/>
      <c r="N83" s="222">
        <f t="shared" si="90"/>
        <v>0.47572815533980584</v>
      </c>
      <c r="O83" s="177">
        <f t="shared" si="129"/>
        <v>7.6969156086631818</v>
      </c>
      <c r="P83" s="177">
        <f t="shared" si="91"/>
        <v>7.8171799150485421</v>
      </c>
      <c r="Q83" s="222">
        <f t="shared" si="92"/>
        <v>0.64140963405526519</v>
      </c>
      <c r="R83" s="222">
        <f t="shared" si="93"/>
        <v>0.64140963405526519</v>
      </c>
      <c r="S83" s="452">
        <f t="shared" si="94"/>
        <v>12</v>
      </c>
      <c r="T83" s="222">
        <f t="shared" si="95"/>
        <v>3.9887146437522381</v>
      </c>
      <c r="U83" s="222">
        <f t="shared" si="96"/>
        <v>2.0682224078715308</v>
      </c>
      <c r="V83" s="222">
        <f t="shared" si="97"/>
        <v>2.2792655107155646</v>
      </c>
      <c r="W83" s="202">
        <f t="shared" si="98"/>
        <v>350</v>
      </c>
      <c r="X83" s="452">
        <f t="shared" si="130"/>
        <v>230.01789049824279</v>
      </c>
      <c r="Z83" s="222">
        <f t="shared" si="99"/>
        <v>2.6213592233009715</v>
      </c>
      <c r="AA83" s="178">
        <f t="shared" si="100"/>
        <v>1.4979195561719838</v>
      </c>
      <c r="AB83" s="178">
        <f t="shared" si="101"/>
        <v>0.68715241775850722</v>
      </c>
      <c r="AC83" s="178"/>
      <c r="AD83" s="178">
        <f t="shared" si="102"/>
        <v>0.46857142857142853</v>
      </c>
      <c r="AE83" s="560">
        <f t="shared" si="103"/>
        <v>3248.0666270077345</v>
      </c>
      <c r="AF83" s="543">
        <f t="shared" si="104"/>
        <v>6.723999999999998E-2</v>
      </c>
      <c r="AH83" s="178">
        <f t="shared" si="105"/>
        <v>3.1516759390028977</v>
      </c>
      <c r="AI83" s="178">
        <f t="shared" si="106"/>
        <v>3.1516759390028977</v>
      </c>
      <c r="AJ83" s="178">
        <f t="shared" si="107"/>
        <v>2.9271673622243686</v>
      </c>
      <c r="AL83" s="560">
        <f t="shared" si="108"/>
        <v>624.00000000000011</v>
      </c>
      <c r="AM83" s="470">
        <f t="shared" si="109"/>
        <v>230.01789049824279</v>
      </c>
      <c r="AO83">
        <f t="shared" si="131"/>
        <v>624.00000000000011</v>
      </c>
      <c r="AP83">
        <f t="shared" si="110"/>
        <v>230.01789049824279</v>
      </c>
      <c r="AR83" s="6">
        <f t="shared" si="132"/>
        <v>4.3474879185870963</v>
      </c>
      <c r="AS83" s="6">
        <f t="shared" si="111"/>
        <v>1.6342023387422433</v>
      </c>
      <c r="AT83" s="6">
        <f t="shared" si="133"/>
        <v>2.713285579844853</v>
      </c>
      <c r="AU83" s="178">
        <f t="shared" si="134"/>
        <v>0.37589577460478552</v>
      </c>
      <c r="AW83" s="6">
        <f>L*Iout^2/(2*Vripple1_spec*Vout*Npri_sec1^2)*1000000000*((1+N83)/(1-N83))^2</f>
        <v>12.324950464868163</v>
      </c>
      <c r="AX83" s="6">
        <f>L*F83^2/(2*Cout*Vout*Nps^2)*1000000000*((1+N83)/(1-N83))^2+F83*RCoutEsr</f>
        <v>21.017106032746703</v>
      </c>
      <c r="AY83" s="6">
        <f>L*Iout2^2/(2*Vripple2_spec*Vout2*Npri_sec2^2)*1000000000*((1+N83)/(1-N83))^2</f>
        <v>4.8144337753391264</v>
      </c>
      <c r="AZ83" s="6">
        <f>L*G83^2/(2*Cout2*Vout2*Npri_sec2^2)*1000000000*((1+N83)/(1-N83))^2+G83*CoutEsr2</f>
        <v>8.6485570440416808</v>
      </c>
      <c r="BA83" s="6">
        <f>(H83+I83)/Efficiency/J83*AT83/Vinripple1</f>
        <v>3.8137617714882301</v>
      </c>
      <c r="BB83" s="470">
        <f>((BZ83/J83/Efficiency)*AT83/Cin+(BZ83/J83/Efficiency)*RCinEsr)*1000</f>
        <v>260.2752353649293</v>
      </c>
      <c r="BC83" s="6"/>
      <c r="BD83" s="178">
        <f t="shared" si="135"/>
        <v>1.1156157855905338</v>
      </c>
      <c r="BE83" s="178">
        <f t="shared" si="112"/>
        <v>1.4375054181130873</v>
      </c>
      <c r="BF83" s="178">
        <f t="shared" si="113"/>
        <v>0.89844088632067942</v>
      </c>
      <c r="BG83" s="178"/>
      <c r="BH83" s="543">
        <f t="shared" si="114"/>
        <v>0.13690584391646624</v>
      </c>
      <c r="BI83" s="543">
        <f t="shared" si="115"/>
        <v>9.3336263319277565E-2</v>
      </c>
      <c r="BJ83" s="543">
        <f t="shared" si="116"/>
        <v>1.1500894524912139E-2</v>
      </c>
      <c r="BK83" s="543">
        <f t="shared" si="117"/>
        <v>3.4316153441660495E-2</v>
      </c>
      <c r="BL83">
        <f t="shared" si="118"/>
        <v>3.9150000000000001E-3</v>
      </c>
      <c r="BM83" s="470">
        <f t="shared" si="136"/>
        <v>279.97415520231647</v>
      </c>
      <c r="BN83" s="178">
        <f t="shared" si="119"/>
        <v>0.24960000000000004</v>
      </c>
      <c r="BO83" s="178">
        <f t="shared" si="120"/>
        <v>0.15600000000000003</v>
      </c>
      <c r="BP83" s="543"/>
      <c r="BR83" s="470">
        <f t="shared" si="137"/>
        <v>405.60000000000008</v>
      </c>
      <c r="BS83" s="543">
        <f t="shared" si="121"/>
        <v>4.9783943242351358E-2</v>
      </c>
      <c r="BT83" s="543">
        <f t="shared" si="122"/>
        <v>8.265687308417928E-2</v>
      </c>
      <c r="BU83" s="543">
        <f t="shared" si="123"/>
        <v>2.421588078638064E-2</v>
      </c>
      <c r="BV83" s="543">
        <f t="shared" si="124"/>
        <v>0</v>
      </c>
      <c r="BW83" s="648">
        <f t="shared" si="125"/>
        <v>8.5679317089263837E-2</v>
      </c>
      <c r="BX83" s="470">
        <f t="shared" si="138"/>
        <v>242.33601420217516</v>
      </c>
      <c r="BY83" s="178">
        <f t="shared" si="139"/>
        <v>0.92791016940449156</v>
      </c>
      <c r="BZ83" s="6">
        <f t="shared" si="140"/>
        <v>12.168000000000001</v>
      </c>
      <c r="CA83" s="178">
        <f t="shared" si="141"/>
        <v>0.92914504166557776</v>
      </c>
      <c r="CB83" s="6">
        <f t="shared" si="142"/>
        <v>92.914504166557776</v>
      </c>
      <c r="CC83">
        <f t="shared" si="143"/>
        <v>78.000000000000014</v>
      </c>
      <c r="CE83" s="577">
        <f t="shared" si="126"/>
        <v>-50</v>
      </c>
      <c r="CF83">
        <f t="shared" si="127"/>
        <v>-50</v>
      </c>
    </row>
    <row r="84" spans="5:84" x14ac:dyDescent="0.2">
      <c r="E84" s="175">
        <v>79</v>
      </c>
      <c r="F84" s="222">
        <f t="shared" si="144"/>
        <v>0.63200000000000012</v>
      </c>
      <c r="G84" s="222">
        <f t="shared" si="128"/>
        <v>0.39500000000000002</v>
      </c>
      <c r="H84" s="222">
        <f t="shared" si="86"/>
        <v>7.5840000000000014</v>
      </c>
      <c r="I84" s="222">
        <f t="shared" si="145"/>
        <v>4.74</v>
      </c>
      <c r="J84" s="556">
        <f t="shared" si="87"/>
        <v>13.5</v>
      </c>
      <c r="K84" s="452">
        <f t="shared" si="88"/>
        <v>12.25</v>
      </c>
      <c r="L84" s="452">
        <f t="shared" si="89"/>
        <v>25.75</v>
      </c>
      <c r="M84" s="452"/>
      <c r="N84" s="222">
        <f t="shared" si="90"/>
        <v>0.47572815533980584</v>
      </c>
      <c r="O84" s="177">
        <f t="shared" si="129"/>
        <v>7.6969156086631818</v>
      </c>
      <c r="P84" s="177">
        <f t="shared" si="91"/>
        <v>7.8171799150485421</v>
      </c>
      <c r="Q84" s="222">
        <f t="shared" si="92"/>
        <v>0.64140963405526519</v>
      </c>
      <c r="R84" s="222">
        <f t="shared" si="93"/>
        <v>0.64140963405526519</v>
      </c>
      <c r="S84" s="452">
        <f t="shared" si="94"/>
        <v>12</v>
      </c>
      <c r="T84" s="222">
        <f t="shared" si="95"/>
        <v>4.039852010979831</v>
      </c>
      <c r="U84" s="222">
        <f t="shared" si="96"/>
        <v>2.0947380797673198</v>
      </c>
      <c r="V84" s="222">
        <f t="shared" si="97"/>
        <v>2.3084868634170461</v>
      </c>
      <c r="W84" s="202">
        <f t="shared" si="98"/>
        <v>350</v>
      </c>
      <c r="X84" s="452">
        <f t="shared" si="130"/>
        <v>227.10627163117641</v>
      </c>
      <c r="Z84" s="222">
        <f t="shared" si="99"/>
        <v>2.6213592233009715</v>
      </c>
      <c r="AA84" s="178">
        <f t="shared" si="100"/>
        <v>1.4979195561719838</v>
      </c>
      <c r="AB84" s="178">
        <f t="shared" si="101"/>
        <v>0.68715241775850722</v>
      </c>
      <c r="AC84" s="178"/>
      <c r="AD84" s="178">
        <f t="shared" si="102"/>
        <v>0.46857142857142853</v>
      </c>
      <c r="AE84" s="560">
        <f t="shared" si="103"/>
        <v>3289.7085068411675</v>
      </c>
      <c r="AF84" s="543">
        <f t="shared" si="104"/>
        <v>6.723999999999998E-2</v>
      </c>
      <c r="AH84" s="178">
        <f t="shared" si="105"/>
        <v>3.1718146483149527</v>
      </c>
      <c r="AI84" s="178">
        <f t="shared" si="106"/>
        <v>3.1718146483149527</v>
      </c>
      <c r="AJ84" s="178">
        <f t="shared" si="107"/>
        <v>2.9420849246777427</v>
      </c>
      <c r="AL84" s="560">
        <f t="shared" si="108"/>
        <v>632.00000000000011</v>
      </c>
      <c r="AM84" s="470">
        <f t="shared" si="109"/>
        <v>227.10627163117641</v>
      </c>
      <c r="AO84">
        <f t="shared" si="131"/>
        <v>632.00000000000011</v>
      </c>
      <c r="AP84">
        <f t="shared" si="110"/>
        <v>227.10627163117641</v>
      </c>
      <c r="AR84" s="6">
        <f t="shared" si="132"/>
        <v>4.403224943184366</v>
      </c>
      <c r="AS84" s="6">
        <f t="shared" si="111"/>
        <v>1.6446446324596051</v>
      </c>
      <c r="AT84" s="6">
        <f t="shared" si="133"/>
        <v>2.7585803107247608</v>
      </c>
      <c r="AU84" s="178">
        <f t="shared" si="134"/>
        <v>0.37350911063612741</v>
      </c>
      <c r="AW84" s="6">
        <f>L*Iout^2/(2*Vripple1_spec*Vout*Npri_sec1^2)*1000000000*((1+N84)/(1-N84))^2</f>
        <v>12.324950464868163</v>
      </c>
      <c r="AX84" s="6">
        <f>L*F84^2/(2*Cout*Vout*Nps^2)*1000000000*((1+N84)/(1-N84))^2+F84*RCoutEsr</f>
        <v>21.535152983295887</v>
      </c>
      <c r="AY84" s="6">
        <f>L*Iout2^2/(2*Vripple2_spec*Vout2*Npri_sec2^2)*1000000000*((1+N84)/(1-N84))^2</f>
        <v>4.8144337753391264</v>
      </c>
      <c r="AZ84" s="6">
        <f>L*G84^2/(2*Cout2*Vout2*Npri_sec2^2)*1000000000*((1+N84)/(1-N84))^2+G84*CoutEsr2</f>
        <v>8.8565441340999538</v>
      </c>
      <c r="BA84" s="6">
        <f>(H84+I84)/Efficiency/J84*AT84/Vinripple1</f>
        <v>3.9271381126990925</v>
      </c>
      <c r="BB84" s="470">
        <f>((BZ84/J84/Efficiency)*AT84/Cin+(BZ84/J84/Efficiency)*RCinEsr)*1000</f>
        <v>267.96462962473259</v>
      </c>
      <c r="BC84" s="6"/>
      <c r="BD84" s="178">
        <f t="shared" si="135"/>
        <v>1.1191744138273922</v>
      </c>
      <c r="BE84" s="178">
        <f t="shared" si="112"/>
        <v>1.4494543867225402</v>
      </c>
      <c r="BF84" s="178">
        <f t="shared" si="113"/>
        <v>0.90590899170158745</v>
      </c>
      <c r="BG84" s="178"/>
      <c r="BH84" s="543">
        <f t="shared" si="114"/>
        <v>0.13778065054224758</v>
      </c>
      <c r="BI84" s="543">
        <f t="shared" si="115"/>
        <v>9.2743646132059848E-2</v>
      </c>
      <c r="BJ84" s="543">
        <f t="shared" si="116"/>
        <v>1.1355313581558821E-2</v>
      </c>
      <c r="BK84" s="543">
        <f t="shared" si="117"/>
        <v>3.3881771752525547E-2</v>
      </c>
      <c r="BL84">
        <f t="shared" si="118"/>
        <v>3.9150000000000001E-3</v>
      </c>
      <c r="BM84" s="470">
        <f t="shared" si="136"/>
        <v>279.67638200839178</v>
      </c>
      <c r="BN84" s="178">
        <f t="shared" si="119"/>
        <v>0.25280000000000008</v>
      </c>
      <c r="BO84" s="178">
        <f t="shared" si="120"/>
        <v>0.15800000000000003</v>
      </c>
      <c r="BP84" s="543"/>
      <c r="BR84" s="470">
        <f t="shared" si="137"/>
        <v>410.80000000000013</v>
      </c>
      <c r="BS84" s="543">
        <f t="shared" si="121"/>
        <v>5.0102054742635488E-2</v>
      </c>
      <c r="BT84" s="543">
        <f t="shared" si="122"/>
        <v>8.4036720767568615E-2</v>
      </c>
      <c r="BU84" s="543">
        <f t="shared" si="123"/>
        <v>2.4620133037373603E-2</v>
      </c>
      <c r="BV84" s="543">
        <f t="shared" si="124"/>
        <v>0</v>
      </c>
      <c r="BW84" s="648">
        <f t="shared" si="125"/>
        <v>8.5679317089263851E-2</v>
      </c>
      <c r="BX84" s="470">
        <f t="shared" si="138"/>
        <v>244.43822563684154</v>
      </c>
      <c r="BY84" s="178">
        <f t="shared" si="139"/>
        <v>0.93491460764523349</v>
      </c>
      <c r="BZ84" s="6">
        <f t="shared" si="140"/>
        <v>12.324000000000002</v>
      </c>
      <c r="CA84" s="178">
        <f t="shared" si="141"/>
        <v>0.92948784758699998</v>
      </c>
      <c r="CB84" s="6">
        <f t="shared" si="142"/>
        <v>92.9487847587</v>
      </c>
      <c r="CC84">
        <f t="shared" si="143"/>
        <v>79.000000000000014</v>
      </c>
      <c r="CE84" s="577">
        <f t="shared" si="126"/>
        <v>-50</v>
      </c>
      <c r="CF84">
        <f t="shared" si="127"/>
        <v>-50</v>
      </c>
    </row>
    <row r="85" spans="5:84" x14ac:dyDescent="0.2">
      <c r="E85" s="175">
        <v>80</v>
      </c>
      <c r="F85" s="222">
        <f t="shared" si="144"/>
        <v>0.64000000000000012</v>
      </c>
      <c r="G85" s="222">
        <f t="shared" si="128"/>
        <v>0.4</v>
      </c>
      <c r="H85" s="222">
        <f t="shared" si="86"/>
        <v>7.6800000000000015</v>
      </c>
      <c r="I85" s="222">
        <f t="shared" si="145"/>
        <v>4.8000000000000007</v>
      </c>
      <c r="J85" s="556">
        <f t="shared" si="87"/>
        <v>13.5</v>
      </c>
      <c r="K85" s="452">
        <f t="shared" si="88"/>
        <v>12.25</v>
      </c>
      <c r="L85" s="452">
        <f t="shared" si="89"/>
        <v>25.75</v>
      </c>
      <c r="M85" s="452"/>
      <c r="N85" s="222">
        <f t="shared" si="90"/>
        <v>0.47572815533980584</v>
      </c>
      <c r="O85" s="177">
        <f t="shared" si="129"/>
        <v>7.6969156086631818</v>
      </c>
      <c r="P85" s="177">
        <f t="shared" si="91"/>
        <v>7.8171799150485421</v>
      </c>
      <c r="Q85" s="222">
        <f t="shared" si="92"/>
        <v>0.64140963405526519</v>
      </c>
      <c r="R85" s="222">
        <f t="shared" si="93"/>
        <v>0.64140963405526519</v>
      </c>
      <c r="S85" s="452">
        <f t="shared" si="94"/>
        <v>12</v>
      </c>
      <c r="T85" s="222">
        <f t="shared" si="95"/>
        <v>4.090989378207424</v>
      </c>
      <c r="U85" s="222">
        <f t="shared" si="96"/>
        <v>2.1212537516631085</v>
      </c>
      <c r="V85" s="222">
        <f t="shared" si="97"/>
        <v>2.3377082161185276</v>
      </c>
      <c r="W85" s="202">
        <f t="shared" si="98"/>
        <v>350</v>
      </c>
      <c r="X85" s="452">
        <f t="shared" si="130"/>
        <v>224.26744323578671</v>
      </c>
      <c r="Z85" s="222">
        <f t="shared" si="99"/>
        <v>2.6213592233009715</v>
      </c>
      <c r="AA85" s="178">
        <f t="shared" si="100"/>
        <v>1.4979195561719838</v>
      </c>
      <c r="AB85" s="178">
        <f t="shared" si="101"/>
        <v>0.68715241775850722</v>
      </c>
      <c r="AC85" s="178"/>
      <c r="AD85" s="178">
        <f t="shared" si="102"/>
        <v>0.46857142857142853</v>
      </c>
      <c r="AE85" s="560">
        <f t="shared" si="103"/>
        <v>3331.3503866745996</v>
      </c>
      <c r="AF85" s="543">
        <f t="shared" si="104"/>
        <v>6.723999999999998E-2</v>
      </c>
      <c r="AH85" s="178">
        <f t="shared" si="105"/>
        <v>3.1918262957186152</v>
      </c>
      <c r="AI85" s="178">
        <f t="shared" si="106"/>
        <v>3.1918262957186152</v>
      </c>
      <c r="AJ85" s="178">
        <f t="shared" si="107"/>
        <v>2.9569083671989742</v>
      </c>
      <c r="AL85" s="560">
        <f t="shared" si="108"/>
        <v>640.00000000000011</v>
      </c>
      <c r="AM85" s="470">
        <f t="shared" si="109"/>
        <v>224.26744323578671</v>
      </c>
      <c r="AO85">
        <f t="shared" si="131"/>
        <v>640.00000000000011</v>
      </c>
      <c r="AP85">
        <f t="shared" si="110"/>
        <v>224.26744323578671</v>
      </c>
      <c r="AR85" s="6">
        <f t="shared" si="132"/>
        <v>4.4589619677816366</v>
      </c>
      <c r="AS85" s="6">
        <f t="shared" si="111"/>
        <v>1.6550210422244673</v>
      </c>
      <c r="AT85" s="6">
        <f t="shared" si="133"/>
        <v>2.8039409255571695</v>
      </c>
      <c r="AU85" s="178">
        <f t="shared" si="134"/>
        <v>0.37116733764110832</v>
      </c>
      <c r="AW85" s="6">
        <f>L*Iout^2/(2*Vripple1_spec*Vout*Npri_sec1^2)*1000000000*((1+N85)/(1-N85))^2</f>
        <v>12.324950464868163</v>
      </c>
      <c r="AX85" s="6">
        <f>L*F85^2/(2*Cout*Vout*Nps^2)*1000000000*((1+N85)/(1-N85))^2+F85*RCoutEsr</f>
        <v>22.059493525571813</v>
      </c>
      <c r="AY85" s="6">
        <f>L*Iout2^2/(2*Vripple2_spec*Vout2*Npri_sec2^2)*1000000000*((1+N85)/(1-N85))^2</f>
        <v>4.8144337753391264</v>
      </c>
      <c r="AZ85" s="6">
        <f>L*G85^2/(2*Cout2*Vout2*Npri_sec2^2)*1000000000*((1+N85)/(1-N85))^2+G85*CoutEsr2</f>
        <v>9.066989658426488</v>
      </c>
      <c r="BA85" s="6">
        <f>(H85+I85)/Efficiency/J85*AT85/Vinripple1</f>
        <v>4.0422418887824394</v>
      </c>
      <c r="BB85" s="470">
        <f>((BZ85/J85/Efficiency)*AT85/Cin+(BZ85/J85/Efficiency)*RCinEsr)*1000</f>
        <v>275.77062573842875</v>
      </c>
      <c r="BC85" s="6"/>
      <c r="BD85" s="178">
        <f t="shared" si="135"/>
        <v>1.1226994162529447</v>
      </c>
      <c r="BE85" s="178">
        <f t="shared" si="112"/>
        <v>1.4613228213137015</v>
      </c>
      <c r="BF85" s="178">
        <f t="shared" si="113"/>
        <v>0.91332676332106333</v>
      </c>
      <c r="BG85" s="178"/>
      <c r="BH85" s="543">
        <f t="shared" si="114"/>
        <v>0.13864993771801729</v>
      </c>
      <c r="BI85" s="543">
        <f t="shared" si="115"/>
        <v>9.2162175533921628E-2</v>
      </c>
      <c r="BJ85" s="543">
        <f t="shared" si="116"/>
        <v>1.1213372161789336E-2</v>
      </c>
      <c r="BK85" s="543">
        <f t="shared" si="117"/>
        <v>3.3458249605618981E-2</v>
      </c>
      <c r="BL85">
        <f t="shared" si="118"/>
        <v>3.9150000000000001E-3</v>
      </c>
      <c r="BM85" s="470">
        <f t="shared" si="136"/>
        <v>279.39873501934721</v>
      </c>
      <c r="BN85" s="178">
        <f t="shared" si="119"/>
        <v>0.25600000000000006</v>
      </c>
      <c r="BO85" s="178">
        <f t="shared" si="120"/>
        <v>0.16000000000000003</v>
      </c>
      <c r="BP85" s="543"/>
      <c r="BR85" s="470">
        <f t="shared" si="137"/>
        <v>416.00000000000011</v>
      </c>
      <c r="BS85" s="543">
        <f t="shared" si="121"/>
        <v>5.0418159170188111E-2</v>
      </c>
      <c r="BT85" s="543">
        <f t="shared" si="122"/>
        <v>8.5418575523689463E-2</v>
      </c>
      <c r="BU85" s="543">
        <f t="shared" si="123"/>
        <v>2.5024973297955888E-2</v>
      </c>
      <c r="BV85" s="543">
        <f t="shared" si="124"/>
        <v>0</v>
      </c>
      <c r="BW85" s="648">
        <f t="shared" si="125"/>
        <v>8.5679317089263837E-2</v>
      </c>
      <c r="BX85" s="470">
        <f t="shared" si="138"/>
        <v>246.54102508109733</v>
      </c>
      <c r="BY85" s="178">
        <f t="shared" si="139"/>
        <v>0.94193976010044445</v>
      </c>
      <c r="BZ85" s="6">
        <f t="shared" si="140"/>
        <v>12.480000000000002</v>
      </c>
      <c r="CA85" s="178">
        <f t="shared" si="141"/>
        <v>0.92982089199203832</v>
      </c>
      <c r="CB85" s="6">
        <f t="shared" si="142"/>
        <v>92.982089199203827</v>
      </c>
      <c r="CC85">
        <f t="shared" si="143"/>
        <v>80.000000000000014</v>
      </c>
      <c r="CE85" s="577">
        <f t="shared" si="126"/>
        <v>-50</v>
      </c>
      <c r="CF85">
        <f t="shared" si="127"/>
        <v>-50</v>
      </c>
    </row>
    <row r="86" spans="5:84" x14ac:dyDescent="0.2">
      <c r="E86" s="175">
        <v>81</v>
      </c>
      <c r="F86" s="222">
        <f t="shared" si="144"/>
        <v>0.64800000000000013</v>
      </c>
      <c r="G86" s="222">
        <f t="shared" si="128"/>
        <v>0.40500000000000003</v>
      </c>
      <c r="H86" s="222">
        <f t="shared" si="86"/>
        <v>7.7760000000000016</v>
      </c>
      <c r="I86" s="222">
        <f t="shared" si="145"/>
        <v>4.8600000000000003</v>
      </c>
      <c r="J86" s="556">
        <f t="shared" si="87"/>
        <v>13.5</v>
      </c>
      <c r="K86" s="452">
        <f t="shared" si="88"/>
        <v>12.127956186208612</v>
      </c>
      <c r="L86" s="452">
        <f t="shared" si="89"/>
        <v>25.75</v>
      </c>
      <c r="M86" s="452"/>
      <c r="N86" s="222">
        <f t="shared" si="90"/>
        <v>0.47572815533980584</v>
      </c>
      <c r="O86" s="177">
        <f t="shared" si="129"/>
        <v>7.6969156086631818</v>
      </c>
      <c r="P86" s="177">
        <f t="shared" si="91"/>
        <v>7.8171799150485421</v>
      </c>
      <c r="Q86" s="222">
        <f t="shared" si="92"/>
        <v>0.64140963405526519</v>
      </c>
      <c r="R86" s="222">
        <f t="shared" si="93"/>
        <v>0.64140963405526519</v>
      </c>
      <c r="S86" s="452">
        <f t="shared" si="94"/>
        <v>11.877956186208612</v>
      </c>
      <c r="T86" s="222">
        <f t="shared" si="95"/>
        <v>4.0999999999999996</v>
      </c>
      <c r="U86" s="222">
        <f t="shared" si="96"/>
        <v>2.1259259259259258</v>
      </c>
      <c r="V86" s="222">
        <f t="shared" si="97"/>
        <v>2.3664333511227884</v>
      </c>
      <c r="W86" s="202">
        <f t="shared" si="98"/>
        <v>350</v>
      </c>
      <c r="X86" s="452">
        <f t="shared" si="130"/>
        <v>222.60018362933715</v>
      </c>
      <c r="Z86" s="222">
        <f t="shared" si="99"/>
        <v>2.607602151086521</v>
      </c>
      <c r="AA86" s="178">
        <f t="shared" si="100"/>
        <v>1.5050528528757727</v>
      </c>
      <c r="AB86" s="178">
        <f t="shared" si="101"/>
        <v>0.68680133491510975</v>
      </c>
      <c r="AC86" s="178"/>
      <c r="AD86" s="178">
        <f t="shared" si="102"/>
        <v>0.47328667022455767</v>
      </c>
      <c r="AE86" s="560">
        <f t="shared" si="103"/>
        <v>3339.3879530310119</v>
      </c>
      <c r="AF86" s="543">
        <f t="shared" si="104"/>
        <v>6.7916637177224015E-2</v>
      </c>
      <c r="AH86" s="178">
        <f t="shared" si="105"/>
        <v>3.2117132563191766</v>
      </c>
      <c r="AI86" s="178">
        <f t="shared" si="106"/>
        <v>3.2117132563191766</v>
      </c>
      <c r="AJ86" s="178">
        <f t="shared" si="107"/>
        <v>2.9716394491253162</v>
      </c>
      <c r="AL86" s="560">
        <f t="shared" si="108"/>
        <v>648.00000000000011</v>
      </c>
      <c r="AM86" s="470">
        <f t="shared" si="109"/>
        <v>222.60018362933715</v>
      </c>
      <c r="AO86" t="str">
        <f t="shared" si="131"/>
        <v/>
      </c>
      <c r="AP86" t="str">
        <f t="shared" si="110"/>
        <v/>
      </c>
      <c r="AR86" s="6">
        <f t="shared" si="132"/>
        <v>4.4923592770487142</v>
      </c>
      <c r="AS86" s="6">
        <f t="shared" si="111"/>
        <v>1.6653327995729064</v>
      </c>
      <c r="AT86" s="6">
        <f t="shared" si="133"/>
        <v>2.8270264774758078</v>
      </c>
      <c r="AU86" s="178">
        <f t="shared" si="134"/>
        <v>0.37070338698888705</v>
      </c>
      <c r="AW86" s="6">
        <f>L*Iout^2/(2*Vripple1_spec*Vout*Npri_sec1^2)*1000000000*((1+N86)/(1-N86))^2</f>
        <v>12.324950464868163</v>
      </c>
      <c r="AX86" s="6">
        <f>L*F86^2/(2*Cout*Vout*Nps^2)*1000000000*((1+N86)/(1-N86))^2+F86*RCoutEsr</f>
        <v>22.590127659574481</v>
      </c>
      <c r="AY86" s="6">
        <f>L*Iout2^2/(2*Vripple2_spec*Vout2*Npri_sec2^2)*1000000000*((1+N86)/(1-N86))^2</f>
        <v>4.8144337753391264</v>
      </c>
      <c r="AZ86" s="6">
        <f>L*G86^2/(2*Cout2*Vout2*Npri_sec2^2)*1000000000*((1+N86)/(1-N86))^2+G86*CoutEsr2</f>
        <v>9.279893617021278</v>
      </c>
      <c r="BA86" s="6">
        <f>(H86+I86)/Efficiency/J86*AT86/Vinripple1</f>
        <v>4.1264667179997767</v>
      </c>
      <c r="BB86" s="470">
        <f>((BZ86/J86/Efficiency)*AT86/Cin+(BZ86/J86/Efficiency)*RCinEsr)*1000</f>
        <v>281.4922929386691</v>
      </c>
      <c r="BC86" s="6"/>
      <c r="BD86" s="178">
        <f t="shared" si="135"/>
        <v>1.1289882290007269</v>
      </c>
      <c r="BE86" s="178">
        <f t="shared" si="112"/>
        <v>1.4709700628213269</v>
      </c>
      <c r="BF86" s="178">
        <f t="shared" si="113"/>
        <v>0.91935628926332913</v>
      </c>
      <c r="BG86" s="178"/>
      <c r="BH86" s="543">
        <f t="shared" si="114"/>
        <v>0.14020758633444177</v>
      </c>
      <c r="BI86" s="543">
        <f t="shared" si="115"/>
        <v>9.2046974930008491E-2</v>
      </c>
      <c r="BJ86" s="543">
        <f t="shared" si="116"/>
        <v>1.1130009181466859E-2</v>
      </c>
      <c r="BK86" s="543">
        <f t="shared" si="117"/>
        <v>3.3209512707988657E-2</v>
      </c>
      <c r="BL86">
        <f t="shared" si="118"/>
        <v>3.9150000000000001E-3</v>
      </c>
      <c r="BM86" s="470">
        <f t="shared" si="136"/>
        <v>280.50908315390575</v>
      </c>
      <c r="BN86" s="178">
        <f t="shared" si="119"/>
        <v>0.25920000000000004</v>
      </c>
      <c r="BO86" s="178">
        <f t="shared" si="120"/>
        <v>0.16200000000000003</v>
      </c>
      <c r="BP86" s="543"/>
      <c r="BR86" s="470">
        <f t="shared" si="137"/>
        <v>421.2000000000001</v>
      </c>
      <c r="BS86" s="543">
        <f t="shared" si="121"/>
        <v>5.0984576848887915E-2</v>
      </c>
      <c r="BT86" s="543">
        <f t="shared" si="122"/>
        <v>8.6550117028663151E-2</v>
      </c>
      <c r="BU86" s="543">
        <f t="shared" si="123"/>
        <v>2.5356479598241142E-2</v>
      </c>
      <c r="BV86" s="543">
        <f t="shared" si="124"/>
        <v>0</v>
      </c>
      <c r="BW86" s="648">
        <f t="shared" si="125"/>
        <v>8.6105385316539967E-2</v>
      </c>
      <c r="BX86" s="470">
        <f t="shared" si="138"/>
        <v>248.99655879233217</v>
      </c>
      <c r="BY86" s="178">
        <f t="shared" si="139"/>
        <v>0.95070564194623797</v>
      </c>
      <c r="BZ86" s="6">
        <f t="shared" si="140"/>
        <v>12.636000000000003</v>
      </c>
      <c r="CA86" s="178">
        <f t="shared" si="141"/>
        <v>0.93002677271441547</v>
      </c>
      <c r="CB86" s="6">
        <f t="shared" si="142"/>
        <v>93.002677271441542</v>
      </c>
      <c r="CC86">
        <f t="shared" si="143"/>
        <v>81.000000000000014</v>
      </c>
      <c r="CE86" s="577">
        <f t="shared" si="126"/>
        <v>-50</v>
      </c>
      <c r="CF86">
        <f t="shared" si="127"/>
        <v>-50</v>
      </c>
    </row>
    <row r="87" spans="5:84" x14ac:dyDescent="0.2">
      <c r="E87" s="175">
        <v>82</v>
      </c>
      <c r="F87" s="222">
        <f t="shared" si="144"/>
        <v>0.65600000000000003</v>
      </c>
      <c r="G87" s="222">
        <f t="shared" si="128"/>
        <v>0.41</v>
      </c>
      <c r="H87" s="222">
        <f t="shared" si="86"/>
        <v>7.8719999999999999</v>
      </c>
      <c r="I87" s="222">
        <f t="shared" si="145"/>
        <v>4.92</v>
      </c>
      <c r="J87" s="556">
        <f t="shared" si="87"/>
        <v>13.5</v>
      </c>
      <c r="K87" s="452">
        <f t="shared" si="88"/>
        <v>11.983103061986558</v>
      </c>
      <c r="L87" s="452">
        <f t="shared" si="89"/>
        <v>25.75</v>
      </c>
      <c r="M87" s="452"/>
      <c r="N87" s="222">
        <f t="shared" si="90"/>
        <v>0.47572815533980584</v>
      </c>
      <c r="O87" s="177">
        <f t="shared" si="129"/>
        <v>7.6969156086631818</v>
      </c>
      <c r="P87" s="177">
        <f t="shared" si="91"/>
        <v>7.8171799150485421</v>
      </c>
      <c r="Q87" s="222">
        <f t="shared" si="92"/>
        <v>0.64140963405526519</v>
      </c>
      <c r="R87" s="222">
        <f t="shared" si="93"/>
        <v>0.64140963405526519</v>
      </c>
      <c r="S87" s="452">
        <f t="shared" si="94"/>
        <v>11.733103061986558</v>
      </c>
      <c r="T87" s="222">
        <f t="shared" si="95"/>
        <v>4.0999999999999996</v>
      </c>
      <c r="U87" s="222">
        <f t="shared" si="96"/>
        <v>2.1259259259259258</v>
      </c>
      <c r="V87" s="222">
        <f t="shared" si="97"/>
        <v>2.3950390688905676</v>
      </c>
      <c r="W87" s="202">
        <f t="shared" si="98"/>
        <v>350</v>
      </c>
      <c r="X87" s="452">
        <f t="shared" si="130"/>
        <v>221.19171485436158</v>
      </c>
      <c r="Z87" s="222">
        <f t="shared" si="99"/>
        <v>2.5911029454368069</v>
      </c>
      <c r="AA87" s="178">
        <f t="shared" si="100"/>
        <v>1.5136079965459945</v>
      </c>
      <c r="AB87" s="178">
        <f t="shared" si="101"/>
        <v>0.68633497416523037</v>
      </c>
      <c r="AC87" s="178"/>
      <c r="AD87" s="178">
        <f t="shared" si="102"/>
        <v>0.47900781377811352</v>
      </c>
      <c r="AE87" s="560">
        <f t="shared" si="103"/>
        <v>3340.2377873133273</v>
      </c>
      <c r="AF87" s="543">
        <f t="shared" si="104"/>
        <v>6.873762127715928E-2</v>
      </c>
      <c r="AH87" s="178">
        <f t="shared" si="105"/>
        <v>3.2314778321368438</v>
      </c>
      <c r="AI87" s="178">
        <f t="shared" si="106"/>
        <v>3.2314778321368438</v>
      </c>
      <c r="AJ87" s="178">
        <f t="shared" si="107"/>
        <v>2.9862798756569213</v>
      </c>
      <c r="AL87" s="560">
        <f t="shared" si="108"/>
        <v>656</v>
      </c>
      <c r="AM87" s="470">
        <f t="shared" si="109"/>
        <v>221.19171485436158</v>
      </c>
      <c r="AO87" t="str">
        <f t="shared" si="131"/>
        <v/>
      </c>
      <c r="AP87" t="str">
        <f t="shared" si="110"/>
        <v/>
      </c>
      <c r="AR87" s="6">
        <f t="shared" si="132"/>
        <v>4.5209649948164925</v>
      </c>
      <c r="AS87" s="6">
        <f t="shared" si="111"/>
        <v>1.6755810981450301</v>
      </c>
      <c r="AT87" s="6">
        <f t="shared" si="133"/>
        <v>2.8453838966714624</v>
      </c>
      <c r="AU87" s="178">
        <f t="shared" si="134"/>
        <v>0.37062465647625359</v>
      </c>
      <c r="AW87" s="6">
        <f>L*Iout^2/(2*Vripple1_spec*Vout*Npri_sec1^2)*1000000000*((1+N87)/(1-N87))^2</f>
        <v>12.324950464868163</v>
      </c>
      <c r="AX87" s="6">
        <f>L*F87^2/(2*Cout*Vout*Nps^2)*1000000000*((1+N87)/(1-N87))^2+F87*RCoutEsr</f>
        <v>23.127055385303876</v>
      </c>
      <c r="AY87" s="6">
        <f>L*Iout2^2/(2*Vripple2_spec*Vout2*Npri_sec2^2)*1000000000*((1+N87)/(1-N87))^2</f>
        <v>4.8144337753391264</v>
      </c>
      <c r="AZ87" s="6">
        <f>L*G87^2/(2*Cout2*Vout2*Npri_sec2^2)*1000000000*((1+N87)/(1-N87))^2+G87*CoutEsr2</f>
        <v>9.4952560098843275</v>
      </c>
      <c r="BA87" s="6">
        <f>(H87+I87)/Efficiency/J87*AT87/Vinripple1</f>
        <v>4.204536949675413</v>
      </c>
      <c r="BB87" s="470">
        <f>((BZ87/J87/Efficiency)*AT87/Cin+(BZ87/J87/Efficiency)*RCinEsr)*1000</f>
        <v>286.79852480484487</v>
      </c>
      <c r="BC87" s="6"/>
      <c r="BD87" s="178">
        <f t="shared" si="135"/>
        <v>1.1358152821992415</v>
      </c>
      <c r="BE87" s="178">
        <f t="shared" si="112"/>
        <v>1.4801148506968196</v>
      </c>
      <c r="BF87" s="178">
        <f t="shared" si="113"/>
        <v>0.92507178168551207</v>
      </c>
      <c r="BG87" s="178"/>
      <c r="BH87" s="543">
        <f t="shared" si="114"/>
        <v>0.1419083990805077</v>
      </c>
      <c r="BI87" s="543">
        <f t="shared" si="115"/>
        <v>9.202742586254116E-2</v>
      </c>
      <c r="BJ87" s="543">
        <f t="shared" si="116"/>
        <v>1.1059585742718078E-2</v>
      </c>
      <c r="BK87" s="543">
        <f t="shared" si="117"/>
        <v>3.2999384571889522E-2</v>
      </c>
      <c r="BL87">
        <f t="shared" si="118"/>
        <v>3.9150000000000001E-3</v>
      </c>
      <c r="BM87" s="470">
        <f t="shared" si="136"/>
        <v>281.90979525765647</v>
      </c>
      <c r="BN87" s="178">
        <f t="shared" si="119"/>
        <v>0.26240000000000002</v>
      </c>
      <c r="BO87" s="178">
        <f t="shared" si="120"/>
        <v>0.16400000000000001</v>
      </c>
      <c r="BP87" s="543"/>
      <c r="BR87" s="470">
        <f t="shared" si="137"/>
        <v>426.4</v>
      </c>
      <c r="BS87" s="543">
        <f t="shared" si="121"/>
        <v>5.1603054211093707E-2</v>
      </c>
      <c r="BT87" s="543">
        <f t="shared" si="122"/>
        <v>8.7629598850130747E-2</v>
      </c>
      <c r="BU87" s="543">
        <f t="shared" si="123"/>
        <v>2.5672734038124229E-2</v>
      </c>
      <c r="BV87" s="543">
        <f t="shared" si="124"/>
        <v>0</v>
      </c>
      <c r="BW87" s="648">
        <f t="shared" si="125"/>
        <v>8.6616869890316125E-2</v>
      </c>
      <c r="BX87" s="470">
        <f t="shared" si="138"/>
        <v>251.52225698966478</v>
      </c>
      <c r="BY87" s="178">
        <f t="shared" si="139"/>
        <v>0.95983205224732138</v>
      </c>
      <c r="BZ87" s="6">
        <f t="shared" si="140"/>
        <v>12.792</v>
      </c>
      <c r="CA87" s="178">
        <f t="shared" si="141"/>
        <v>0.93020333228324537</v>
      </c>
      <c r="CB87" s="6">
        <f t="shared" si="142"/>
        <v>93.020333228324532</v>
      </c>
      <c r="CC87">
        <f t="shared" si="143"/>
        <v>82</v>
      </c>
      <c r="CE87" s="577">
        <f t="shared" si="126"/>
        <v>-50</v>
      </c>
      <c r="CF87">
        <f t="shared" si="127"/>
        <v>-50</v>
      </c>
    </row>
    <row r="88" spans="5:84" x14ac:dyDescent="0.2">
      <c r="E88" s="175">
        <v>83</v>
      </c>
      <c r="F88" s="222">
        <f t="shared" si="144"/>
        <v>0.66400000000000003</v>
      </c>
      <c r="G88" s="222">
        <f t="shared" si="128"/>
        <v>0.41499999999999998</v>
      </c>
      <c r="H88" s="222">
        <f t="shared" si="86"/>
        <v>7.968</v>
      </c>
      <c r="I88" s="222">
        <f t="shared" si="145"/>
        <v>4.9799999999999995</v>
      </c>
      <c r="J88" s="556">
        <f t="shared" si="87"/>
        <v>13.5</v>
      </c>
      <c r="K88" s="452">
        <f t="shared" si="88"/>
        <v>11.841740374492742</v>
      </c>
      <c r="L88" s="452">
        <f t="shared" si="89"/>
        <v>25.75</v>
      </c>
      <c r="M88" s="452"/>
      <c r="N88" s="222">
        <f t="shared" si="90"/>
        <v>0.47572815533980584</v>
      </c>
      <c r="O88" s="177">
        <f t="shared" si="129"/>
        <v>7.6969156086631818</v>
      </c>
      <c r="P88" s="177">
        <f t="shared" si="91"/>
        <v>7.8171799150485421</v>
      </c>
      <c r="Q88" s="222">
        <f t="shared" si="92"/>
        <v>0.64140963405526519</v>
      </c>
      <c r="R88" s="222">
        <f t="shared" si="93"/>
        <v>0.64140963405526519</v>
      </c>
      <c r="S88" s="452">
        <f t="shared" si="94"/>
        <v>11.591740374492742</v>
      </c>
      <c r="T88" s="222">
        <f t="shared" si="95"/>
        <v>4.0999999999999996</v>
      </c>
      <c r="U88" s="222">
        <f t="shared" si="96"/>
        <v>2.1259259259259258</v>
      </c>
      <c r="V88" s="222">
        <f t="shared" si="97"/>
        <v>2.4236302344392011</v>
      </c>
      <c r="W88" s="202">
        <f t="shared" si="98"/>
        <v>350</v>
      </c>
      <c r="X88" s="452">
        <f t="shared" si="130"/>
        <v>219.80166081074259</v>
      </c>
      <c r="Z88" s="222">
        <f t="shared" si="99"/>
        <v>2.5748194552115553</v>
      </c>
      <c r="AA88" s="178">
        <f t="shared" si="100"/>
        <v>1.5220512877739021</v>
      </c>
      <c r="AB88" s="178">
        <f t="shared" si="101"/>
        <v>0.68582627182825784</v>
      </c>
      <c r="AC88" s="178"/>
      <c r="AD88" s="178">
        <f t="shared" si="102"/>
        <v>0.48472604688784016</v>
      </c>
      <c r="AE88" s="560">
        <f t="shared" si="103"/>
        <v>3341.0876215956414</v>
      </c>
      <c r="AF88" s="543">
        <f t="shared" si="104"/>
        <v>6.9558187728405066E-2</v>
      </c>
      <c r="AH88" s="178">
        <f t="shared" si="105"/>
        <v>3.2511222552170111</v>
      </c>
      <c r="AI88" s="178">
        <f t="shared" si="106"/>
        <v>3.2511222552170111</v>
      </c>
      <c r="AJ88" s="178">
        <f t="shared" si="107"/>
        <v>3.0008313001607494</v>
      </c>
      <c r="AL88" s="560">
        <f t="shared" si="108"/>
        <v>664</v>
      </c>
      <c r="AM88" s="470">
        <f t="shared" si="109"/>
        <v>219.80166081074259</v>
      </c>
      <c r="AO88" t="str">
        <f t="shared" si="131"/>
        <v/>
      </c>
      <c r="AP88" t="str">
        <f t="shared" si="110"/>
        <v/>
      </c>
      <c r="AR88" s="6">
        <f t="shared" si="132"/>
        <v>4.5495561603651264</v>
      </c>
      <c r="AS88" s="6">
        <f t="shared" si="111"/>
        <v>1.6857670952977095</v>
      </c>
      <c r="AT88" s="6">
        <f t="shared" si="133"/>
        <v>2.8637890650674169</v>
      </c>
      <c r="AU88" s="178">
        <f t="shared" si="134"/>
        <v>0.37053440728653797</v>
      </c>
      <c r="AW88" s="6">
        <f>L*Iout^2/(2*Vripple1_spec*Vout*Npri_sec1^2)*1000000000*((1+N88)/(1-N88))^2</f>
        <v>12.324950464868163</v>
      </c>
      <c r="AX88" s="6">
        <f>L*F88^2/(2*Cout*Vout*Nps^2)*1000000000*((1+N88)/(1-N88))^2+F88*RCoutEsr</f>
        <v>23.670276702760027</v>
      </c>
      <c r="AY88" s="6">
        <f>L*Iout2^2/(2*Vripple2_spec*Vout2*Npri_sec2^2)*1000000000*((1+N88)/(1-N88))^2</f>
        <v>4.8144337753391264</v>
      </c>
      <c r="AZ88" s="6">
        <f>L*G88^2/(2*Cout2*Vout2*Npri_sec2^2)*1000000000*((1+N88)/(1-N88))^2+G88*CoutEsr2</f>
        <v>9.7130768370156328</v>
      </c>
      <c r="BA88" s="6">
        <f>(H88+I88)/Efficiency/J88*AT88/Vinripple1</f>
        <v>4.2833402139331929</v>
      </c>
      <c r="BB88" s="470">
        <f>((BZ88/J88/Efficiency)*AT88/Cin+(BZ88/J88/Efficiency)*RCinEsr)*1000</f>
        <v>292.15423637031506</v>
      </c>
      <c r="BC88" s="6"/>
      <c r="BD88" s="178">
        <f t="shared" si="135"/>
        <v>1.1425808601220766</v>
      </c>
      <c r="BE88" s="178">
        <f t="shared" si="112"/>
        <v>1.489219353958692</v>
      </c>
      <c r="BF88" s="178">
        <f t="shared" si="113"/>
        <v>0.93076209622418238</v>
      </c>
      <c r="BG88" s="178"/>
      <c r="BH88" s="543">
        <f t="shared" si="114"/>
        <v>0.14360401241090348</v>
      </c>
      <c r="BI88" s="543">
        <f t="shared" si="115"/>
        <v>9.2005016666416251E-2</v>
      </c>
      <c r="BJ88" s="543">
        <f t="shared" si="116"/>
        <v>1.0990083040537129E-2</v>
      </c>
      <c r="BK88" s="543">
        <f t="shared" si="117"/>
        <v>3.2792003712297672E-2</v>
      </c>
      <c r="BL88">
        <f t="shared" si="118"/>
        <v>3.9150000000000001E-3</v>
      </c>
      <c r="BM88" s="470">
        <f t="shared" si="136"/>
        <v>283.30611583015451</v>
      </c>
      <c r="BN88" s="178">
        <f t="shared" si="119"/>
        <v>0.2656</v>
      </c>
      <c r="BO88" s="178">
        <f t="shared" si="120"/>
        <v>0.16600000000000001</v>
      </c>
      <c r="BP88" s="543"/>
      <c r="BR88" s="470">
        <f t="shared" si="137"/>
        <v>431.59999999999997</v>
      </c>
      <c r="BS88" s="543">
        <f t="shared" si="121"/>
        <v>5.2219640876692175E-2</v>
      </c>
      <c r="BT88" s="543">
        <f t="shared" si="122"/>
        <v>8.8710971368205757E-2</v>
      </c>
      <c r="BU88" s="543">
        <f t="shared" si="123"/>
        <v>2.598954239302902E-2</v>
      </c>
      <c r="BV88" s="543">
        <f t="shared" si="124"/>
        <v>0</v>
      </c>
      <c r="BW88" s="648">
        <f t="shared" si="125"/>
        <v>8.7122201148290654E-2</v>
      </c>
      <c r="BX88" s="470">
        <f t="shared" si="138"/>
        <v>254.04235578621766</v>
      </c>
      <c r="BY88" s="178">
        <f t="shared" si="139"/>
        <v>0.96894847161637199</v>
      </c>
      <c r="BZ88" s="6">
        <f t="shared" si="140"/>
        <v>12.948</v>
      </c>
      <c r="CA88" s="178">
        <f t="shared" si="141"/>
        <v>0.93037636996410933</v>
      </c>
      <c r="CB88" s="6">
        <f t="shared" si="142"/>
        <v>93.037636996410939</v>
      </c>
      <c r="CC88">
        <f t="shared" si="143"/>
        <v>83</v>
      </c>
      <c r="CE88" s="577">
        <f t="shared" si="126"/>
        <v>-50</v>
      </c>
      <c r="CF88">
        <f t="shared" si="127"/>
        <v>-50</v>
      </c>
    </row>
    <row r="89" spans="5:84" x14ac:dyDescent="0.2">
      <c r="E89" s="175">
        <v>84</v>
      </c>
      <c r="F89" s="222">
        <f t="shared" si="144"/>
        <v>0.67200000000000004</v>
      </c>
      <c r="G89" s="222">
        <f t="shared" si="128"/>
        <v>0.42</v>
      </c>
      <c r="H89" s="222">
        <f t="shared" si="86"/>
        <v>8.0640000000000001</v>
      </c>
      <c r="I89" s="222">
        <f t="shared" si="145"/>
        <v>5.04</v>
      </c>
      <c r="J89" s="556">
        <f t="shared" si="87"/>
        <v>13.5</v>
      </c>
      <c r="K89" s="452">
        <f t="shared" si="88"/>
        <v>11.703743465272591</v>
      </c>
      <c r="L89" s="452">
        <f t="shared" si="89"/>
        <v>25.75</v>
      </c>
      <c r="M89" s="452"/>
      <c r="N89" s="222">
        <f t="shared" si="90"/>
        <v>0.47572815533980584</v>
      </c>
      <c r="O89" s="177">
        <f t="shared" si="129"/>
        <v>7.6969156086631818</v>
      </c>
      <c r="P89" s="177">
        <f t="shared" si="91"/>
        <v>7.8171799150485421</v>
      </c>
      <c r="Q89" s="222">
        <f t="shared" si="92"/>
        <v>0.64140963405526519</v>
      </c>
      <c r="R89" s="222">
        <f t="shared" si="93"/>
        <v>0.64140963405526519</v>
      </c>
      <c r="S89" s="452">
        <f t="shared" si="94"/>
        <v>11.453743465272591</v>
      </c>
      <c r="T89" s="222">
        <f t="shared" si="95"/>
        <v>4.0999999999999996</v>
      </c>
      <c r="U89" s="222">
        <f t="shared" si="96"/>
        <v>2.1259259259259258</v>
      </c>
      <c r="V89" s="222">
        <f t="shared" si="97"/>
        <v>2.4522068588703081</v>
      </c>
      <c r="W89" s="202">
        <f t="shared" si="98"/>
        <v>350</v>
      </c>
      <c r="X89" s="452">
        <f t="shared" si="130"/>
        <v>218.42966270461915</v>
      </c>
      <c r="Z89" s="222">
        <f t="shared" si="99"/>
        <v>2.5587474773969667</v>
      </c>
      <c r="AA89" s="178">
        <f t="shared" si="100"/>
        <v>1.5303849058999857</v>
      </c>
      <c r="AB89" s="178">
        <f t="shared" si="101"/>
        <v>0.68527699054814695</v>
      </c>
      <c r="AC89" s="178"/>
      <c r="AD89" s="178">
        <f t="shared" si="102"/>
        <v>0.49044137177406161</v>
      </c>
      <c r="AE89" s="560">
        <f t="shared" si="103"/>
        <v>3341.9374558779568</v>
      </c>
      <c r="AF89" s="543">
        <f t="shared" si="104"/>
        <v>7.0378336849577838E-2</v>
      </c>
      <c r="AH89" s="178">
        <f t="shared" si="105"/>
        <v>3.2706486905723851</v>
      </c>
      <c r="AI89" s="178">
        <f t="shared" si="106"/>
        <v>3.2706486905723851</v>
      </c>
      <c r="AJ89" s="178">
        <f t="shared" si="107"/>
        <v>3.0152953263499152</v>
      </c>
      <c r="AL89" s="560">
        <f t="shared" si="108"/>
        <v>672</v>
      </c>
      <c r="AM89" s="470">
        <f t="shared" si="109"/>
        <v>218.42966270461915</v>
      </c>
      <c r="AO89" t="str">
        <f t="shared" si="131"/>
        <v/>
      </c>
      <c r="AP89" t="str">
        <f t="shared" si="110"/>
        <v/>
      </c>
      <c r="AR89" s="6">
        <f t="shared" si="132"/>
        <v>4.5781327847962334</v>
      </c>
      <c r="AS89" s="6">
        <f t="shared" si="111"/>
        <v>1.6958919136301256</v>
      </c>
      <c r="AT89" s="6">
        <f t="shared" si="133"/>
        <v>2.8822408711661076</v>
      </c>
      <c r="AU89" s="178">
        <f t="shared" si="134"/>
        <v>0.37043309867771945</v>
      </c>
      <c r="AW89" s="6">
        <f>L*Iout^2/(2*Vripple1_spec*Vout*Npri_sec1^2)*1000000000*((1+N89)/(1-N89))^2</f>
        <v>12.324950464868163</v>
      </c>
      <c r="AX89" s="6">
        <f>L*F89^2/(2*Cout*Vout*Nps^2)*1000000000*((1+N89)/(1-N89))^2+F89*RCoutEsr</f>
        <v>24.219791611942917</v>
      </c>
      <c r="AY89" s="6">
        <f>L*Iout2^2/(2*Vripple2_spec*Vout2*Npri_sec2^2)*1000000000*((1+N89)/(1-N89))^2</f>
        <v>4.8144337753391264</v>
      </c>
      <c r="AZ89" s="6">
        <f>L*G89^2/(2*Cout2*Vout2*Npri_sec2^2)*1000000000*((1+N89)/(1-N89))^2+G89*CoutEsr2</f>
        <v>9.9333560984151976</v>
      </c>
      <c r="BA89" s="6">
        <f>(H89+I89)/Efficiency/J89*AT89/Vinripple1</f>
        <v>4.3628774096611851</v>
      </c>
      <c r="BB89" s="470">
        <f>((BZ89/J89/Efficiency)*AT89/Cin+(BZ89/J89/Efficiency)*RCinEsr)*1000</f>
        <v>297.55948831002479</v>
      </c>
      <c r="BC89" s="6"/>
      <c r="BD89" s="178">
        <f t="shared" si="135"/>
        <v>1.1492861227112046</v>
      </c>
      <c r="BE89" s="178">
        <f t="shared" si="112"/>
        <v>1.4982842500199127</v>
      </c>
      <c r="BF89" s="178">
        <f t="shared" si="113"/>
        <v>0.93642765626244528</v>
      </c>
      <c r="BG89" s="178"/>
      <c r="BH89" s="543">
        <f t="shared" si="114"/>
        <v>0.14529444510422093</v>
      </c>
      <c r="BI89" s="543">
        <f t="shared" si="115"/>
        <v>9.1979861377030167E-2</v>
      </c>
      <c r="BJ89" s="543">
        <f t="shared" si="116"/>
        <v>1.0921483135230958E-2</v>
      </c>
      <c r="BK89" s="543">
        <f t="shared" si="117"/>
        <v>3.258731660109334E-2</v>
      </c>
      <c r="BL89">
        <f t="shared" si="118"/>
        <v>3.9150000000000001E-3</v>
      </c>
      <c r="BM89" s="470">
        <f t="shared" si="136"/>
        <v>284.69810621757534</v>
      </c>
      <c r="BN89" s="178">
        <f t="shared" si="119"/>
        <v>0.26880000000000004</v>
      </c>
      <c r="BO89" s="178">
        <f t="shared" si="120"/>
        <v>0.16800000000000001</v>
      </c>
      <c r="BP89" s="543"/>
      <c r="BR89" s="470">
        <f t="shared" si="137"/>
        <v>436.80000000000007</v>
      </c>
      <c r="BS89" s="543">
        <f t="shared" si="121"/>
        <v>5.2834343674262152E-2</v>
      </c>
      <c r="BT89" s="543">
        <f t="shared" si="122"/>
        <v>8.97942277543093E-2</v>
      </c>
      <c r="BU89" s="543">
        <f t="shared" si="123"/>
        <v>2.6306902662395288E-2</v>
      </c>
      <c r="BV89" s="543">
        <f t="shared" si="124"/>
        <v>0</v>
      </c>
      <c r="BW89" s="648">
        <f t="shared" si="125"/>
        <v>8.7621498982081533E-2</v>
      </c>
      <c r="BX89" s="470">
        <f t="shared" si="138"/>
        <v>256.55697307304825</v>
      </c>
      <c r="BY89" s="178">
        <f t="shared" si="139"/>
        <v>0.97805507929062374</v>
      </c>
      <c r="BZ89" s="6">
        <f t="shared" si="140"/>
        <v>13.103999999999999</v>
      </c>
      <c r="CA89" s="178">
        <f t="shared" si="141"/>
        <v>0.93054599816691719</v>
      </c>
      <c r="CB89" s="6">
        <f t="shared" si="142"/>
        <v>93.05459981669172</v>
      </c>
      <c r="CC89">
        <f t="shared" si="143"/>
        <v>84</v>
      </c>
      <c r="CE89" s="577">
        <f t="shared" si="126"/>
        <v>-50</v>
      </c>
      <c r="CF89">
        <f t="shared" si="127"/>
        <v>-50</v>
      </c>
    </row>
    <row r="90" spans="5:84" x14ac:dyDescent="0.2">
      <c r="E90" s="175">
        <v>85</v>
      </c>
      <c r="F90" s="222">
        <f t="shared" si="144"/>
        <v>0.68</v>
      </c>
      <c r="G90" s="222">
        <f t="shared" si="128"/>
        <v>0.42499999999999999</v>
      </c>
      <c r="H90" s="222">
        <f t="shared" si="86"/>
        <v>8.16</v>
      </c>
      <c r="I90" s="222">
        <f t="shared" si="145"/>
        <v>5.0999999999999996</v>
      </c>
      <c r="J90" s="556">
        <f t="shared" si="87"/>
        <v>13.5</v>
      </c>
      <c r="K90" s="452">
        <f t="shared" si="88"/>
        <v>11.568993542151738</v>
      </c>
      <c r="L90" s="452">
        <f t="shared" si="89"/>
        <v>25.75</v>
      </c>
      <c r="M90" s="452"/>
      <c r="N90" s="222">
        <f t="shared" si="90"/>
        <v>0.47572815533980584</v>
      </c>
      <c r="O90" s="177">
        <f t="shared" si="129"/>
        <v>7.6969156086631818</v>
      </c>
      <c r="P90" s="177">
        <f t="shared" si="91"/>
        <v>7.8171799150485421</v>
      </c>
      <c r="Q90" s="222">
        <f t="shared" si="92"/>
        <v>0.64140963405526519</v>
      </c>
      <c r="R90" s="222">
        <f t="shared" si="93"/>
        <v>0.64140963405526519</v>
      </c>
      <c r="S90" s="452">
        <f t="shared" si="94"/>
        <v>11.318993542151738</v>
      </c>
      <c r="T90" s="222">
        <f t="shared" si="95"/>
        <v>4.0999999999999996</v>
      </c>
      <c r="U90" s="222">
        <f t="shared" si="96"/>
        <v>2.1259259259259258</v>
      </c>
      <c r="V90" s="222">
        <f t="shared" si="97"/>
        <v>2.4807689532742216</v>
      </c>
      <c r="W90" s="202">
        <f t="shared" si="98"/>
        <v>350</v>
      </c>
      <c r="X90" s="452">
        <f t="shared" si="130"/>
        <v>217.07537100300166</v>
      </c>
      <c r="Z90" s="222">
        <f t="shared" si="99"/>
        <v>2.5428829174637335</v>
      </c>
      <c r="AA90" s="178">
        <f t="shared" si="100"/>
        <v>1.5386109740135137</v>
      </c>
      <c r="AB90" s="178">
        <f t="shared" si="101"/>
        <v>0.68468882342721005</v>
      </c>
      <c r="AC90" s="178"/>
      <c r="AD90" s="178">
        <f t="shared" si="102"/>
        <v>0.49615379065484433</v>
      </c>
      <c r="AE90" s="560">
        <f t="shared" si="103"/>
        <v>3342.7872901602718</v>
      </c>
      <c r="AF90" s="543">
        <f t="shared" si="104"/>
        <v>7.1198068958970157E-2</v>
      </c>
      <c r="AH90" s="178">
        <f t="shared" si="105"/>
        <v>3.2900592389679497</v>
      </c>
      <c r="AI90" s="178">
        <f t="shared" si="106"/>
        <v>3.2900592389679497</v>
      </c>
      <c r="AJ90" s="178">
        <f t="shared" si="107"/>
        <v>3.0296735103466297</v>
      </c>
      <c r="AL90" s="560">
        <f t="shared" si="108"/>
        <v>680</v>
      </c>
      <c r="AM90" s="470">
        <f t="shared" si="109"/>
        <v>217.07537100300166</v>
      </c>
      <c r="AO90" t="str">
        <f t="shared" si="131"/>
        <v/>
      </c>
      <c r="AP90" t="str">
        <f t="shared" si="110"/>
        <v/>
      </c>
      <c r="AR90" s="6">
        <f t="shared" si="132"/>
        <v>4.6066948792001474</v>
      </c>
      <c r="AS90" s="6">
        <f t="shared" si="111"/>
        <v>1.7059566424278259</v>
      </c>
      <c r="AT90" s="6">
        <f t="shared" si="133"/>
        <v>2.9007382367723213</v>
      </c>
      <c r="AU90" s="178">
        <f t="shared" si="134"/>
        <v>0.37032117107005535</v>
      </c>
      <c r="AW90" s="6">
        <f>L*Iout^2/(2*Vripple1_spec*Vout*Npri_sec1^2)*1000000000*((1+N90)/(1-N90))^2</f>
        <v>12.324950464868163</v>
      </c>
      <c r="AX90" s="6">
        <f>L*F90^2/(2*Cout*Vout*Nps^2)*1000000000*((1+N90)/(1-N90))^2+F90*RCoutEsr</f>
        <v>24.775600112852544</v>
      </c>
      <c r="AY90" s="6">
        <f>L*Iout2^2/(2*Vripple2_spec*Vout2*Npri_sec2^2)*1000000000*((1+N90)/(1-N90))^2</f>
        <v>4.8144337753391264</v>
      </c>
      <c r="AZ90" s="6">
        <f>L*G90^2/(2*Cout2*Vout2*Npri_sec2^2)*1000000000*((1+N90)/(1-N90))^2+G90*CoutEsr2</f>
        <v>10.156093794083024</v>
      </c>
      <c r="BA90" s="6">
        <f>(H90+I90)/Efficiency/J90*AT90/Vinripple1</f>
        <v>4.4431494066393453</v>
      </c>
      <c r="BB90" s="470">
        <f>((BZ90/J90/Efficiency)*AT90/Cin+(BZ90/J90/Efficiency)*RCinEsr)*1000</f>
        <v>303.01433933412073</v>
      </c>
      <c r="BC90" s="6"/>
      <c r="BD90" s="178">
        <f t="shared" si="135"/>
        <v>1.1559321977608019</v>
      </c>
      <c r="BE90" s="178">
        <f t="shared" si="112"/>
        <v>1.5073101935189066</v>
      </c>
      <c r="BF90" s="178">
        <f t="shared" si="113"/>
        <v>0.94206887094931646</v>
      </c>
      <c r="BG90" s="178"/>
      <c r="BH90" s="543">
        <f t="shared" si="114"/>
        <v>0.14697971704021293</v>
      </c>
      <c r="BI90" s="543">
        <f t="shared" si="115"/>
        <v>9.1952069352305696E-2</v>
      </c>
      <c r="BJ90" s="543">
        <f t="shared" si="116"/>
        <v>1.0853768550150083E-2</v>
      </c>
      <c r="BK90" s="543">
        <f t="shared" si="117"/>
        <v>3.2385271091777502E-2</v>
      </c>
      <c r="BL90">
        <f t="shared" si="118"/>
        <v>3.9150000000000001E-3</v>
      </c>
      <c r="BM90" s="470">
        <f t="shared" si="136"/>
        <v>286.0858260344462</v>
      </c>
      <c r="BN90" s="178">
        <f t="shared" si="119"/>
        <v>0.27200000000000002</v>
      </c>
      <c r="BO90" s="178">
        <f t="shared" si="120"/>
        <v>0.17</v>
      </c>
      <c r="BP90" s="543"/>
      <c r="BR90" s="470">
        <f t="shared" si="137"/>
        <v>442.00000000000006</v>
      </c>
      <c r="BS90" s="543">
        <f t="shared" si="121"/>
        <v>5.3447169832804703E-2</v>
      </c>
      <c r="BT90" s="543">
        <f t="shared" si="122"/>
        <v>9.0879360779440144E-2</v>
      </c>
      <c r="BU90" s="543">
        <f t="shared" si="123"/>
        <v>2.6624812728351595E-2</v>
      </c>
      <c r="BV90" s="543">
        <f t="shared" si="124"/>
        <v>0</v>
      </c>
      <c r="BW90" s="648">
        <f t="shared" si="125"/>
        <v>8.8114880188769437E-2</v>
      </c>
      <c r="BX90" s="470">
        <f t="shared" si="138"/>
        <v>259.06622352936586</v>
      </c>
      <c r="BY90" s="178">
        <f t="shared" si="139"/>
        <v>0.9871520495638122</v>
      </c>
      <c r="BZ90" s="6">
        <f t="shared" si="140"/>
        <v>13.26</v>
      </c>
      <c r="CA90" s="178">
        <f t="shared" si="141"/>
        <v>0.93071232439089224</v>
      </c>
      <c r="CB90" s="6">
        <f t="shared" si="142"/>
        <v>93.071232439089229</v>
      </c>
      <c r="CC90">
        <f t="shared" si="143"/>
        <v>85</v>
      </c>
      <c r="CE90" s="577">
        <f t="shared" si="126"/>
        <v>-50</v>
      </c>
      <c r="CF90">
        <f t="shared" si="127"/>
        <v>-50</v>
      </c>
    </row>
    <row r="91" spans="5:84" x14ac:dyDescent="0.2">
      <c r="E91" s="175">
        <v>86</v>
      </c>
      <c r="F91" s="222">
        <f t="shared" si="144"/>
        <v>0.68800000000000006</v>
      </c>
      <c r="G91" s="222">
        <f t="shared" si="128"/>
        <v>0.43</v>
      </c>
      <c r="H91" s="222">
        <f t="shared" si="86"/>
        <v>8.2560000000000002</v>
      </c>
      <c r="I91" s="222">
        <f t="shared" si="145"/>
        <v>5.16</v>
      </c>
      <c r="J91" s="556">
        <f t="shared" si="87"/>
        <v>13.5</v>
      </c>
      <c r="K91" s="452">
        <f t="shared" si="88"/>
        <v>11.437377338173228</v>
      </c>
      <c r="L91" s="452">
        <f t="shared" si="89"/>
        <v>25.75</v>
      </c>
      <c r="M91" s="452"/>
      <c r="N91" s="222">
        <f t="shared" si="90"/>
        <v>0.47572815533980584</v>
      </c>
      <c r="O91" s="177">
        <f t="shared" si="129"/>
        <v>7.6969156086631818</v>
      </c>
      <c r="P91" s="177">
        <f t="shared" si="91"/>
        <v>7.8171799150485421</v>
      </c>
      <c r="Q91" s="222">
        <f t="shared" si="92"/>
        <v>0.64140963405526519</v>
      </c>
      <c r="R91" s="222">
        <f t="shared" si="93"/>
        <v>0.64140963405526519</v>
      </c>
      <c r="S91" s="452">
        <f t="shared" si="94"/>
        <v>11.187377338173228</v>
      </c>
      <c r="T91" s="222">
        <f t="shared" si="95"/>
        <v>4.0999999999999996</v>
      </c>
      <c r="U91" s="222">
        <f t="shared" si="96"/>
        <v>2.1259259259259258</v>
      </c>
      <c r="V91" s="222">
        <f t="shared" si="97"/>
        <v>2.5093165287299986</v>
      </c>
      <c r="W91" s="202">
        <f t="shared" si="98"/>
        <v>350</v>
      </c>
      <c r="X91" s="452">
        <f t="shared" si="130"/>
        <v>215.73844513689639</v>
      </c>
      <c r="Z91" s="222">
        <f t="shared" si="99"/>
        <v>2.5272217858893571</v>
      </c>
      <c r="AA91" s="178">
        <f t="shared" si="100"/>
        <v>1.546731560755783</v>
      </c>
      <c r="AB91" s="178">
        <f t="shared" si="101"/>
        <v>0.68406339702131591</v>
      </c>
      <c r="AC91" s="178"/>
      <c r="AD91" s="178">
        <f t="shared" si="102"/>
        <v>0.50186330574599969</v>
      </c>
      <c r="AE91" s="560">
        <f t="shared" si="103"/>
        <v>3343.6371244425868</v>
      </c>
      <c r="AF91" s="543">
        <f t="shared" si="104"/>
        <v>7.201738437455095E-2</v>
      </c>
      <c r="AH91" s="178">
        <f t="shared" si="105"/>
        <v>3.309355939558916</v>
      </c>
      <c r="AI91" s="178">
        <f t="shared" si="106"/>
        <v>4.0999999999999996</v>
      </c>
      <c r="AJ91" s="178">
        <f t="shared" si="107"/>
        <v>3.6296296296296298</v>
      </c>
      <c r="AL91" s="560">
        <f t="shared" si="108"/>
        <v>688</v>
      </c>
      <c r="AM91" s="470">
        <f t="shared" si="109"/>
        <v>215.73844513689639</v>
      </c>
      <c r="AO91" t="str">
        <f t="shared" si="131"/>
        <v/>
      </c>
      <c r="AP91" t="str">
        <f t="shared" si="110"/>
        <v/>
      </c>
      <c r="AR91" s="6">
        <f t="shared" si="132"/>
        <v>4.6352424546559243</v>
      </c>
      <c r="AS91" s="6">
        <f t="shared" si="111"/>
        <v>2.1259259259259258</v>
      </c>
      <c r="AT91" s="6">
        <f t="shared" si="133"/>
        <v>2.5093165287299986</v>
      </c>
      <c r="AU91" s="178">
        <f t="shared" si="134"/>
        <v>0.45864395373547595</v>
      </c>
      <c r="AW91" s="6">
        <f>L*Iout^2/(2*Vripple1_spec*Vout*Npri_sec1^2)*1000000000*((1+N91)/(1-N91))^2</f>
        <v>12.324950464868163</v>
      </c>
      <c r="AX91" s="6">
        <f>L*F91^2/(2*Cout*Vout*Nps^2)*1000000000*((1+N91)/(1-N91))^2+F91*RCoutEsr</f>
        <v>25.33770220548892</v>
      </c>
      <c r="AY91" s="6">
        <f>L*Iout2^2/(2*Vripple2_spec*Vout2*Npri_sec2^2)*1000000000*((1+N91)/(1-N91))^2</f>
        <v>4.8144337753391264</v>
      </c>
      <c r="AZ91" s="6">
        <f>L*G91^2/(2*Cout2*Vout2*Npri_sec2^2)*1000000000*((1+N91)/(1-N91))^2+G91*CoutEsr2</f>
        <v>10.381289924019107</v>
      </c>
      <c r="BA91" s="6">
        <f>(H91+I91)/Efficiency/J91*AT91/Vinripple1</f>
        <v>3.88881560025317</v>
      </c>
      <c r="BB91" s="470">
        <f>((BZ91/J91/Efficiency)*AT91/Cin+(BZ91/J91/Efficiency)*RCinEsr)*1000</f>
        <v>265.63329863112403</v>
      </c>
      <c r="BC91" s="6"/>
      <c r="BD91" s="178">
        <f t="shared" si="135"/>
        <v>1.6031016668002636</v>
      </c>
      <c r="BE91" s="178">
        <f t="shared" si="112"/>
        <v>1.7416654039268133</v>
      </c>
      <c r="BF91" s="178">
        <f t="shared" si="113"/>
        <v>1.0885408774542582</v>
      </c>
      <c r="BG91" s="178"/>
      <c r="BH91" s="543">
        <f t="shared" si="114"/>
        <v>0.28269284495075619</v>
      </c>
      <c r="BI91" s="543">
        <f t="shared" si="115"/>
        <v>0.11388293172663916</v>
      </c>
      <c r="BJ91" s="543">
        <f t="shared" si="116"/>
        <v>1.0786922256844819E-2</v>
      </c>
      <c r="BK91" s="543">
        <f t="shared" si="117"/>
        <v>3.2185816375181253E-2</v>
      </c>
      <c r="BL91">
        <f t="shared" si="118"/>
        <v>3.9150000000000001E-3</v>
      </c>
      <c r="BM91" s="470">
        <f t="shared" si="136"/>
        <v>443.46351530942138</v>
      </c>
      <c r="BN91" s="178">
        <f t="shared" si="119"/>
        <v>0.27520000000000006</v>
      </c>
      <c r="BO91" s="178">
        <f t="shared" si="120"/>
        <v>0.17200000000000001</v>
      </c>
      <c r="BP91" s="543"/>
      <c r="BR91" s="470">
        <f t="shared" si="137"/>
        <v>447.20000000000005</v>
      </c>
      <c r="BS91" s="543">
        <f t="shared" si="121"/>
        <v>0.10279739816391134</v>
      </c>
      <c r="BT91" s="543">
        <f t="shared" si="122"/>
        <v>0.12133593516942201</v>
      </c>
      <c r="BU91" s="543">
        <f t="shared" si="123"/>
        <v>3.5547637256666591E-2</v>
      </c>
      <c r="BV91" s="543">
        <f t="shared" si="124"/>
        <v>0</v>
      </c>
      <c r="BW91" s="648">
        <f t="shared" si="125"/>
        <v>0.13599612235317107</v>
      </c>
      <c r="BX91" s="470">
        <f t="shared" si="138"/>
        <v>395.67709294317098</v>
      </c>
      <c r="BY91" s="178">
        <f t="shared" si="139"/>
        <v>1.2863406082525926</v>
      </c>
      <c r="BZ91" s="6">
        <f t="shared" si="140"/>
        <v>13.416</v>
      </c>
      <c r="CA91" s="178">
        <f t="shared" si="141"/>
        <v>0.91250776712855131</v>
      </c>
      <c r="CB91" s="6">
        <f t="shared" si="142"/>
        <v>91.250776712855128</v>
      </c>
      <c r="CC91">
        <f t="shared" si="143"/>
        <v>86</v>
      </c>
      <c r="CE91" s="577">
        <f t="shared" si="126"/>
        <v>-50</v>
      </c>
      <c r="CF91">
        <f t="shared" si="127"/>
        <v>-50</v>
      </c>
    </row>
    <row r="92" spans="5:84" x14ac:dyDescent="0.2">
      <c r="E92" s="175">
        <v>87</v>
      </c>
      <c r="F92" s="222">
        <f t="shared" si="144"/>
        <v>0.69600000000000006</v>
      </c>
      <c r="G92" s="222">
        <f t="shared" si="128"/>
        <v>0.435</v>
      </c>
      <c r="H92" s="222">
        <f t="shared" si="86"/>
        <v>8.3520000000000003</v>
      </c>
      <c r="I92" s="222">
        <f t="shared" si="145"/>
        <v>5.22</v>
      </c>
      <c r="J92" s="556">
        <f t="shared" si="87"/>
        <v>13.5</v>
      </c>
      <c r="K92" s="452">
        <f t="shared" si="88"/>
        <v>11.308786794056294</v>
      </c>
      <c r="L92" s="452">
        <f t="shared" si="89"/>
        <v>25.75</v>
      </c>
      <c r="M92" s="452"/>
      <c r="N92" s="222">
        <f t="shared" si="90"/>
        <v>0.47572815533980584</v>
      </c>
      <c r="O92" s="177">
        <f t="shared" si="129"/>
        <v>7.6969156086631818</v>
      </c>
      <c r="P92" s="177">
        <f t="shared" si="91"/>
        <v>7.8171799150485421</v>
      </c>
      <c r="Q92" s="222">
        <f t="shared" si="92"/>
        <v>0.64140963405526519</v>
      </c>
      <c r="R92" s="222">
        <f t="shared" si="93"/>
        <v>0.64140963405526519</v>
      </c>
      <c r="S92" s="452">
        <f t="shared" si="94"/>
        <v>11.058786794056294</v>
      </c>
      <c r="T92" s="222">
        <f t="shared" si="95"/>
        <v>4.0999999999999996</v>
      </c>
      <c r="U92" s="222">
        <f t="shared" si="96"/>
        <v>2.1259259259259258</v>
      </c>
      <c r="V92" s="222">
        <f t="shared" si="97"/>
        <v>2.5378495963054344</v>
      </c>
      <c r="W92" s="202">
        <f t="shared" si="98"/>
        <v>350</v>
      </c>
      <c r="X92" s="452">
        <f t="shared" si="130"/>
        <v>214.41855321577634</v>
      </c>
      <c r="Z92" s="222">
        <f t="shared" si="99"/>
        <v>2.5117601948133794</v>
      </c>
      <c r="AA92" s="178">
        <f t="shared" si="100"/>
        <v>1.5547486820544381</v>
      </c>
      <c r="AB92" s="178">
        <f t="shared" si="101"/>
        <v>0.68340227419150756</v>
      </c>
      <c r="AC92" s="178"/>
      <c r="AD92" s="178">
        <f t="shared" si="102"/>
        <v>0.50756991926108697</v>
      </c>
      <c r="AE92" s="560">
        <f t="shared" si="103"/>
        <v>3344.4869587249009</v>
      </c>
      <c r="AF92" s="543">
        <f t="shared" si="104"/>
        <v>7.2836283413965974E-2</v>
      </c>
      <c r="AH92" s="178">
        <f t="shared" si="105"/>
        <v>3.3285407723910168</v>
      </c>
      <c r="AI92" s="178">
        <f t="shared" si="106"/>
        <v>4.0999999999999996</v>
      </c>
      <c r="AJ92" s="178">
        <f t="shared" si="107"/>
        <v>3.6296296296296298</v>
      </c>
      <c r="AL92" s="560">
        <f t="shared" si="108"/>
        <v>696.00000000000011</v>
      </c>
      <c r="AM92" s="470">
        <f t="shared" si="109"/>
        <v>214.41855321577634</v>
      </c>
      <c r="AO92" t="str">
        <f t="shared" si="131"/>
        <v/>
      </c>
      <c r="AP92" t="str">
        <f t="shared" si="110"/>
        <v/>
      </c>
      <c r="AR92" s="6">
        <f t="shared" si="132"/>
        <v>4.6637755222313597</v>
      </c>
      <c r="AS92" s="6">
        <f t="shared" si="111"/>
        <v>2.1259259259259258</v>
      </c>
      <c r="AT92" s="6">
        <f t="shared" si="133"/>
        <v>2.5378495963054339</v>
      </c>
      <c r="AU92" s="178">
        <f t="shared" si="134"/>
        <v>0.45583796128094678</v>
      </c>
      <c r="AW92" s="6">
        <f>L*Iout^2/(2*Vripple1_spec*Vout*Npri_sec1^2)*1000000000*((1+N92)/(1-N92))^2</f>
        <v>12.324950464868163</v>
      </c>
      <c r="AX92" s="6">
        <f>L*F92^2/(2*Cout*Vout*Nps^2)*1000000000*((1+N92)/(1-N92))^2+F92*RCoutEsr</f>
        <v>25.906097889852031</v>
      </c>
      <c r="AY92" s="6">
        <f>L*Iout2^2/(2*Vripple2_spec*Vout2*Npri_sec2^2)*1000000000*((1+N92)/(1-N92))^2</f>
        <v>4.8144337753391264</v>
      </c>
      <c r="AZ92" s="6">
        <f>L*G92^2/(2*Cout2*Vout2*Npri_sec2^2)*1000000000*((1+N92)/(1-N92))^2+G92*CoutEsr2</f>
        <v>10.608944488223447</v>
      </c>
      <c r="BA92" s="6">
        <f>(H92+I92)/Efficiency/J92*AT92/Vinripple1</f>
        <v>3.9787677101791754</v>
      </c>
      <c r="BB92" s="470">
        <f>((BZ92/J92/Efficiency)*AT92/Cin+(BZ92/J92/Efficiency)*RCinEsr)*1000</f>
        <v>271.74155727919958</v>
      </c>
      <c r="BC92" s="6"/>
      <c r="BD92" s="178">
        <f t="shared" si="135"/>
        <v>1.5981902399414902</v>
      </c>
      <c r="BE92" s="178">
        <f t="shared" si="112"/>
        <v>1.7461733276765783</v>
      </c>
      <c r="BF92" s="178">
        <f t="shared" si="113"/>
        <v>1.0913583297978613</v>
      </c>
      <c r="BG92" s="178"/>
      <c r="BH92" s="543">
        <f t="shared" si="114"/>
        <v>0.28096332473486618</v>
      </c>
      <c r="BI92" s="543">
        <f t="shared" si="115"/>
        <v>0.11318619377877792</v>
      </c>
      <c r="BJ92" s="543">
        <f t="shared" si="116"/>
        <v>1.0720927660788816E-2</v>
      </c>
      <c r="BK92" s="543">
        <f t="shared" si="117"/>
        <v>3.1988902936868027E-2</v>
      </c>
      <c r="BL92">
        <f t="shared" si="118"/>
        <v>3.9150000000000001E-3</v>
      </c>
      <c r="BM92" s="470">
        <f t="shared" si="136"/>
        <v>440.77434911130092</v>
      </c>
      <c r="BN92" s="178">
        <f t="shared" si="119"/>
        <v>0.27840000000000004</v>
      </c>
      <c r="BO92" s="178">
        <f t="shared" si="120"/>
        <v>0.17400000000000002</v>
      </c>
      <c r="BP92" s="543"/>
      <c r="BR92" s="470">
        <f t="shared" si="137"/>
        <v>452.40000000000003</v>
      </c>
      <c r="BS92" s="543">
        <f t="shared" si="121"/>
        <v>0.10216848172176952</v>
      </c>
      <c r="BT92" s="543">
        <f t="shared" si="122"/>
        <v>0.1219648516115638</v>
      </c>
      <c r="BU92" s="543">
        <f t="shared" si="123"/>
        <v>3.5731890120575323E-2</v>
      </c>
      <c r="BV92" s="543">
        <f t="shared" si="124"/>
        <v>0</v>
      </c>
      <c r="BW92" s="648">
        <f t="shared" si="125"/>
        <v>0.13516409548339503</v>
      </c>
      <c r="BX92" s="470">
        <f t="shared" si="138"/>
        <v>395.02931893730369</v>
      </c>
      <c r="BY92" s="178">
        <f t="shared" si="139"/>
        <v>1.2882036680486049</v>
      </c>
      <c r="BZ92" s="6">
        <f t="shared" si="140"/>
        <v>13.571999999999999</v>
      </c>
      <c r="CA92" s="178">
        <f t="shared" si="141"/>
        <v>0.9133118430389745</v>
      </c>
      <c r="CB92" s="6">
        <f t="shared" si="142"/>
        <v>91.331184303897444</v>
      </c>
      <c r="CC92">
        <f t="shared" si="143"/>
        <v>87</v>
      </c>
      <c r="CE92" s="577">
        <f t="shared" si="126"/>
        <v>-50</v>
      </c>
      <c r="CF92">
        <f t="shared" si="127"/>
        <v>-50</v>
      </c>
    </row>
    <row r="93" spans="5:84" x14ac:dyDescent="0.2">
      <c r="E93" s="175">
        <v>88</v>
      </c>
      <c r="F93" s="222">
        <f t="shared" si="144"/>
        <v>0.70400000000000007</v>
      </c>
      <c r="G93" s="222">
        <f t="shared" si="128"/>
        <v>0.44</v>
      </c>
      <c r="H93" s="222">
        <f t="shared" si="86"/>
        <v>8.4480000000000004</v>
      </c>
      <c r="I93" s="222">
        <f t="shared" si="145"/>
        <v>5.28</v>
      </c>
      <c r="J93" s="556">
        <f t="shared" si="87"/>
        <v>13.5</v>
      </c>
      <c r="K93" s="452">
        <f t="shared" si="88"/>
        <v>11.183118762305655</v>
      </c>
      <c r="L93" s="452">
        <f t="shared" si="89"/>
        <v>25.75</v>
      </c>
      <c r="M93" s="452"/>
      <c r="N93" s="222">
        <f t="shared" si="90"/>
        <v>0.47572815533980584</v>
      </c>
      <c r="O93" s="177">
        <f t="shared" si="129"/>
        <v>7.6969156086631818</v>
      </c>
      <c r="P93" s="177">
        <f t="shared" si="91"/>
        <v>7.8171799150485421</v>
      </c>
      <c r="Q93" s="222">
        <f t="shared" si="92"/>
        <v>0.64140963405526519</v>
      </c>
      <c r="R93" s="222">
        <f t="shared" si="93"/>
        <v>0.64140963405526519</v>
      </c>
      <c r="S93" s="452">
        <f t="shared" si="94"/>
        <v>10.933118762305655</v>
      </c>
      <c r="T93" s="222">
        <f t="shared" si="95"/>
        <v>4.0999999999999996</v>
      </c>
      <c r="U93" s="222">
        <f t="shared" si="96"/>
        <v>2.1259259259259258</v>
      </c>
      <c r="V93" s="222">
        <f t="shared" si="97"/>
        <v>2.566368167057079</v>
      </c>
      <c r="W93" s="202">
        <f t="shared" si="98"/>
        <v>350</v>
      </c>
      <c r="X93" s="452">
        <f t="shared" si="130"/>
        <v>213.11537175289791</v>
      </c>
      <c r="Z93" s="222">
        <f t="shared" si="99"/>
        <v>2.496494354819661</v>
      </c>
      <c r="AA93" s="178">
        <f t="shared" si="100"/>
        <v>1.5626643027919218</v>
      </c>
      <c r="AB93" s="178">
        <f t="shared" si="101"/>
        <v>0.68270695681969096</v>
      </c>
      <c r="AC93" s="178"/>
      <c r="AD93" s="178">
        <f t="shared" si="102"/>
        <v>0.51327363341141585</v>
      </c>
      <c r="AE93" s="560">
        <f t="shared" si="103"/>
        <v>3345.3367930072163</v>
      </c>
      <c r="AF93" s="543">
        <f t="shared" si="104"/>
        <v>7.3654766394538176E-2</v>
      </c>
      <c r="AH93" s="178">
        <f t="shared" si="105"/>
        <v>3.3476156607718424</v>
      </c>
      <c r="AI93" s="178">
        <f t="shared" si="106"/>
        <v>4.0999999999999996</v>
      </c>
      <c r="AJ93" s="178">
        <f t="shared" si="107"/>
        <v>3.6296296296296298</v>
      </c>
      <c r="AL93" s="560">
        <f t="shared" si="108"/>
        <v>704.00000000000011</v>
      </c>
      <c r="AM93" s="470">
        <f t="shared" si="109"/>
        <v>213.11537175289791</v>
      </c>
      <c r="AO93" t="str">
        <f t="shared" si="131"/>
        <v/>
      </c>
      <c r="AP93" t="str">
        <f t="shared" si="110"/>
        <v/>
      </c>
      <c r="AR93" s="6">
        <f t="shared" si="132"/>
        <v>4.6922940929830048</v>
      </c>
      <c r="AS93" s="6">
        <f t="shared" si="111"/>
        <v>2.1259259259259258</v>
      </c>
      <c r="AT93" s="6">
        <f t="shared" si="133"/>
        <v>2.566368167057079</v>
      </c>
      <c r="AU93" s="178">
        <f t="shared" si="134"/>
        <v>0.45306749402282737</v>
      </c>
      <c r="AW93" s="6">
        <f>L*Iout^2/(2*Vripple1_spec*Vout*Npri_sec1^2)*1000000000*((1+N93)/(1-N93))^2</f>
        <v>12.324950464868163</v>
      </c>
      <c r="AX93" s="6">
        <f>L*F93^2/(2*Cout*Vout*Nps^2)*1000000000*((1+N93)/(1-N93))^2+F93*RCoutEsr</f>
        <v>26.480787165941891</v>
      </c>
      <c r="AY93" s="6">
        <f>L*Iout2^2/(2*Vripple2_spec*Vout2*Npri_sec2^2)*1000000000*((1+N93)/(1-N93))^2</f>
        <v>4.8144337753391264</v>
      </c>
      <c r="AZ93" s="6">
        <f>L*G93^2/(2*Cout2*Vout2*Npri_sec2^2)*1000000000*((1+N93)/(1-N93))^2+G93*CoutEsr2</f>
        <v>10.839057486696049</v>
      </c>
      <c r="BA93" s="6">
        <f>(H93+I93)/Efficiency/J93*AT93/Vinripple1</f>
        <v>4.0697251834362387</v>
      </c>
      <c r="BB93" s="470">
        <f>((BZ93/J93/Efficiency)*AT93/Cin+(BZ93/J93/Efficiency)*RCinEsr)*1000</f>
        <v>277.91767795212149</v>
      </c>
      <c r="BC93" s="6"/>
      <c r="BD93" s="178">
        <f t="shared" si="135"/>
        <v>1.5933261409729989</v>
      </c>
      <c r="BE93" s="178">
        <f t="shared" si="112"/>
        <v>1.7506127903752511</v>
      </c>
      <c r="BF93" s="178">
        <f t="shared" si="113"/>
        <v>1.0941329939845317</v>
      </c>
      <c r="BG93" s="178"/>
      <c r="BH93" s="543">
        <f t="shared" si="114"/>
        <v>0.27925570106586994</v>
      </c>
      <c r="BI93" s="543">
        <f t="shared" si="115"/>
        <v>0.11249827686406097</v>
      </c>
      <c r="BJ93" s="543">
        <f t="shared" si="116"/>
        <v>1.0655768587644896E-2</v>
      </c>
      <c r="BK93" s="543">
        <f t="shared" si="117"/>
        <v>3.179448251615382E-2</v>
      </c>
      <c r="BL93">
        <f t="shared" si="118"/>
        <v>3.9150000000000001E-3</v>
      </c>
      <c r="BM93" s="470">
        <f t="shared" si="136"/>
        <v>438.11922903372965</v>
      </c>
      <c r="BN93" s="178">
        <f t="shared" si="119"/>
        <v>0.28160000000000002</v>
      </c>
      <c r="BO93" s="178">
        <f t="shared" si="120"/>
        <v>0.17600000000000002</v>
      </c>
      <c r="BP93" s="543"/>
      <c r="BR93" s="470">
        <f t="shared" si="137"/>
        <v>457.6</v>
      </c>
      <c r="BS93" s="543">
        <f t="shared" si="121"/>
        <v>0.10154752766031636</v>
      </c>
      <c r="BT93" s="543">
        <f t="shared" si="122"/>
        <v>0.12258580567301691</v>
      </c>
      <c r="BU93" s="543">
        <f t="shared" si="123"/>
        <v>3.5913810255766655E-2</v>
      </c>
      <c r="BV93" s="543">
        <f t="shared" si="124"/>
        <v>0</v>
      </c>
      <c r="BW93" s="648">
        <f t="shared" si="125"/>
        <v>0.13434260246873306</v>
      </c>
      <c r="BX93" s="470">
        <f t="shared" si="138"/>
        <v>394.38974605783295</v>
      </c>
      <c r="BY93" s="178">
        <f t="shared" si="139"/>
        <v>1.2901089750915626</v>
      </c>
      <c r="BZ93" s="6">
        <f t="shared" si="140"/>
        <v>13.728000000000002</v>
      </c>
      <c r="CA93" s="178">
        <f t="shared" si="141"/>
        <v>0.91409644335173712</v>
      </c>
      <c r="CB93" s="6">
        <f t="shared" si="142"/>
        <v>91.409644335173709</v>
      </c>
      <c r="CC93">
        <f t="shared" si="143"/>
        <v>88</v>
      </c>
      <c r="CE93" s="577">
        <f t="shared" si="126"/>
        <v>-50</v>
      </c>
      <c r="CF93">
        <f t="shared" si="127"/>
        <v>-50</v>
      </c>
    </row>
    <row r="94" spans="5:84" x14ac:dyDescent="0.2">
      <c r="E94" s="175">
        <v>89</v>
      </c>
      <c r="F94" s="222">
        <f t="shared" si="144"/>
        <v>0.71200000000000008</v>
      </c>
      <c r="G94" s="222">
        <f t="shared" si="128"/>
        <v>0.44500000000000001</v>
      </c>
      <c r="H94" s="222">
        <f t="shared" si="86"/>
        <v>8.5440000000000005</v>
      </c>
      <c r="I94" s="222">
        <f t="shared" si="145"/>
        <v>5.34</v>
      </c>
      <c r="J94" s="556">
        <f t="shared" si="87"/>
        <v>13.5</v>
      </c>
      <c r="K94" s="452">
        <f t="shared" si="88"/>
        <v>11.060274731268512</v>
      </c>
      <c r="L94" s="452">
        <f t="shared" si="89"/>
        <v>25.75</v>
      </c>
      <c r="M94" s="452"/>
      <c r="N94" s="222">
        <f t="shared" si="90"/>
        <v>0.47572815533980584</v>
      </c>
      <c r="O94" s="177">
        <f t="shared" si="129"/>
        <v>7.6969156086631818</v>
      </c>
      <c r="P94" s="177">
        <f t="shared" si="91"/>
        <v>7.8171799150485421</v>
      </c>
      <c r="Q94" s="222">
        <f t="shared" si="92"/>
        <v>0.64140963405526519</v>
      </c>
      <c r="R94" s="222">
        <f t="shared" si="93"/>
        <v>0.64140963405526519</v>
      </c>
      <c r="S94" s="452">
        <f t="shared" si="94"/>
        <v>10.810274731268512</v>
      </c>
      <c r="T94" s="222">
        <f t="shared" si="95"/>
        <v>4.0999999999999996</v>
      </c>
      <c r="U94" s="222">
        <f t="shared" si="96"/>
        <v>2.1259259259259258</v>
      </c>
      <c r="V94" s="222">
        <f t="shared" si="97"/>
        <v>2.5948722520302505</v>
      </c>
      <c r="W94" s="202">
        <f t="shared" si="98"/>
        <v>350</v>
      </c>
      <c r="X94" s="452">
        <f t="shared" si="130"/>
        <v>211.82858540098408</v>
      </c>
      <c r="Z94" s="222">
        <f t="shared" si="99"/>
        <v>2.4814205718400988</v>
      </c>
      <c r="AA94" s="178">
        <f t="shared" si="100"/>
        <v>1.5704803384109538</v>
      </c>
      <c r="AB94" s="178">
        <f t="shared" si="101"/>
        <v>0.68197888839558474</v>
      </c>
      <c r="AC94" s="178"/>
      <c r="AD94" s="178">
        <f t="shared" si="102"/>
        <v>0.51897445040605017</v>
      </c>
      <c r="AE94" s="560">
        <f t="shared" si="103"/>
        <v>3346.1866272895304</v>
      </c>
      <c r="AF94" s="543">
        <f t="shared" si="104"/>
        <v>7.4472833633268204E-2</v>
      </c>
      <c r="AH94" s="178">
        <f t="shared" si="105"/>
        <v>3.3665824735212424</v>
      </c>
      <c r="AI94" s="178">
        <f t="shared" si="106"/>
        <v>4.0999999999999996</v>
      </c>
      <c r="AJ94" s="178">
        <f t="shared" si="107"/>
        <v>3.6296296296296298</v>
      </c>
      <c r="AL94" s="560">
        <f t="shared" si="108"/>
        <v>712.00000000000011</v>
      </c>
      <c r="AM94" s="470">
        <f t="shared" si="109"/>
        <v>211.82858540098408</v>
      </c>
      <c r="AO94" t="str">
        <f t="shared" si="131"/>
        <v/>
      </c>
      <c r="AP94" t="str">
        <f t="shared" si="110"/>
        <v/>
      </c>
      <c r="AR94" s="6">
        <f t="shared" si="132"/>
        <v>4.7207981779561763</v>
      </c>
      <c r="AS94" s="6">
        <f t="shared" si="111"/>
        <v>2.1259259259259258</v>
      </c>
      <c r="AT94" s="6">
        <f t="shared" si="133"/>
        <v>2.5948722520302505</v>
      </c>
      <c r="AU94" s="178">
        <f t="shared" si="134"/>
        <v>0.45033188155616616</v>
      </c>
      <c r="AW94" s="6">
        <f>L*Iout^2/(2*Vripple1_spec*Vout*Npri_sec1^2)*1000000000*((1+N94)/(1-N94))^2</f>
        <v>12.324950464868163</v>
      </c>
      <c r="AX94" s="6">
        <f>L*F94^2/(2*Cout*Vout*Nps^2)*1000000000*((1+N94)/(1-N94))^2+F94*RCoutEsr</f>
        <v>27.061770033758478</v>
      </c>
      <c r="AY94" s="6">
        <f>L*Iout2^2/(2*Vripple2_spec*Vout2*Npri_sec2^2)*1000000000*((1+N94)/(1-N94))^2</f>
        <v>4.8144337753391264</v>
      </c>
      <c r="AZ94" s="6">
        <f>L*G94^2/(2*Cout2*Vout2*Npri_sec2^2)*1000000000*((1+N94)/(1-N94))^2+G94*CoutEsr2</f>
        <v>11.071628919436908</v>
      </c>
      <c r="BA94" s="6">
        <f>(H94+I94)/Efficiency/J94*AT94/Vinripple1</f>
        <v>4.161687254025038</v>
      </c>
      <c r="BB94" s="470">
        <f>((BZ94/J94/Efficiency)*AT94/Cin+(BZ94/J94/Efficiency)*RCinEsr)*1000</f>
        <v>284.16160894493572</v>
      </c>
      <c r="BC94" s="6"/>
      <c r="BD94" s="178">
        <f t="shared" si="135"/>
        <v>1.5885086222574882</v>
      </c>
      <c r="BE94" s="178">
        <f t="shared" si="112"/>
        <v>1.7549853818043468</v>
      </c>
      <c r="BF94" s="178">
        <f t="shared" si="113"/>
        <v>1.0968658636277167</v>
      </c>
      <c r="BG94" s="178"/>
      <c r="BH94" s="543">
        <f t="shared" si="114"/>
        <v>0.2775695607285022</v>
      </c>
      <c r="BI94" s="543">
        <f t="shared" si="115"/>
        <v>0.11181901451854447</v>
      </c>
      <c r="BJ94" s="543">
        <f t="shared" si="116"/>
        <v>1.0591429270049203E-2</v>
      </c>
      <c r="BK94" s="543">
        <f t="shared" si="117"/>
        <v>3.1602508066674001E-2</v>
      </c>
      <c r="BL94">
        <f t="shared" si="118"/>
        <v>3.9150000000000001E-3</v>
      </c>
      <c r="BM94" s="470">
        <f t="shared" si="136"/>
        <v>435.49751258376989</v>
      </c>
      <c r="BN94" s="178">
        <f t="shared" si="119"/>
        <v>0.28480000000000005</v>
      </c>
      <c r="BO94" s="178">
        <f t="shared" si="120"/>
        <v>0.17800000000000002</v>
      </c>
      <c r="BP94" s="543"/>
      <c r="BR94" s="470">
        <f t="shared" si="137"/>
        <v>462.80000000000013</v>
      </c>
      <c r="BS94" s="543">
        <f t="shared" si="121"/>
        <v>0.10093438571945534</v>
      </c>
      <c r="BT94" s="543">
        <f t="shared" si="122"/>
        <v>0.12319894761387795</v>
      </c>
      <c r="BU94" s="543">
        <f t="shared" si="123"/>
        <v>3.6093441683753301E-2</v>
      </c>
      <c r="BV94" s="543">
        <f t="shared" si="124"/>
        <v>0</v>
      </c>
      <c r="BW94" s="648">
        <f t="shared" si="125"/>
        <v>0.13353144452214535</v>
      </c>
      <c r="BX94" s="470">
        <f t="shared" si="138"/>
        <v>393.75821953923196</v>
      </c>
      <c r="BY94" s="178">
        <f t="shared" si="139"/>
        <v>1.292055732123002</v>
      </c>
      <c r="BZ94" s="6">
        <f t="shared" si="140"/>
        <v>13.884</v>
      </c>
      <c r="CA94" s="178">
        <f t="shared" si="141"/>
        <v>0.91486221750041941</v>
      </c>
      <c r="CB94" s="6">
        <f t="shared" si="142"/>
        <v>91.486221750041935</v>
      </c>
      <c r="CC94">
        <f t="shared" si="143"/>
        <v>89</v>
      </c>
      <c r="CE94" s="577">
        <f t="shared" si="126"/>
        <v>-50</v>
      </c>
      <c r="CF94">
        <f t="shared" si="127"/>
        <v>-50</v>
      </c>
    </row>
    <row r="95" spans="5:84" x14ac:dyDescent="0.2">
      <c r="E95" s="175">
        <v>90</v>
      </c>
      <c r="F95" s="222">
        <f t="shared" si="144"/>
        <v>0.72000000000000008</v>
      </c>
      <c r="G95" s="222">
        <f t="shared" si="128"/>
        <v>0.45</v>
      </c>
      <c r="H95" s="222">
        <f t="shared" si="86"/>
        <v>8.64</v>
      </c>
      <c r="I95" s="222">
        <f t="shared" si="145"/>
        <v>5.4</v>
      </c>
      <c r="J95" s="556">
        <f t="shared" si="87"/>
        <v>13.5</v>
      </c>
      <c r="K95" s="452">
        <f t="shared" si="88"/>
        <v>10.940160567587752</v>
      </c>
      <c r="L95" s="452">
        <f t="shared" si="89"/>
        <v>25.75</v>
      </c>
      <c r="M95" s="452"/>
      <c r="N95" s="222">
        <f t="shared" si="90"/>
        <v>0.47572815533980584</v>
      </c>
      <c r="O95" s="177">
        <f t="shared" si="129"/>
        <v>7.6969156086631818</v>
      </c>
      <c r="P95" s="177">
        <f t="shared" si="91"/>
        <v>7.8171799150485421</v>
      </c>
      <c r="Q95" s="222">
        <f t="shared" si="92"/>
        <v>0.64140963405526519</v>
      </c>
      <c r="R95" s="222">
        <f t="shared" si="93"/>
        <v>0.64140963405526519</v>
      </c>
      <c r="S95" s="452">
        <f t="shared" si="94"/>
        <v>10.690160567587752</v>
      </c>
      <c r="T95" s="222">
        <f t="shared" si="95"/>
        <v>4.0999999999999996</v>
      </c>
      <c r="U95" s="222">
        <f t="shared" si="96"/>
        <v>2.1259259259259258</v>
      </c>
      <c r="V95" s="222">
        <f t="shared" si="97"/>
        <v>2.6233618622590469</v>
      </c>
      <c r="W95" s="202">
        <f t="shared" si="98"/>
        <v>350</v>
      </c>
      <c r="X95" s="452">
        <f t="shared" si="130"/>
        <v>210.55788669782177</v>
      </c>
      <c r="Z95" s="222">
        <f t="shared" si="99"/>
        <v>2.4665352441744832</v>
      </c>
      <c r="AA95" s="178">
        <f t="shared" si="100"/>
        <v>1.5781986564597918</v>
      </c>
      <c r="AB95" s="178">
        <f t="shared" si="101"/>
        <v>0.68121945648170645</v>
      </c>
      <c r="AC95" s="178"/>
      <c r="AD95" s="178">
        <f t="shared" si="102"/>
        <v>0.52467237245180931</v>
      </c>
      <c r="AE95" s="560">
        <f t="shared" si="103"/>
        <v>3347.0364615718468</v>
      </c>
      <c r="AF95" s="543">
        <f t="shared" si="104"/>
        <v>7.5290485446834643E-2</v>
      </c>
      <c r="AH95" s="178">
        <f t="shared" si="105"/>
        <v>3.385443027108257</v>
      </c>
      <c r="AI95" s="178">
        <f t="shared" si="106"/>
        <v>4.0999999999999996</v>
      </c>
      <c r="AJ95" s="178">
        <f t="shared" si="107"/>
        <v>3.6296296296296298</v>
      </c>
      <c r="AL95" s="560">
        <f t="shared" si="108"/>
        <v>720.00000000000011</v>
      </c>
      <c r="AM95" s="470">
        <f t="shared" si="109"/>
        <v>210.55788669782177</v>
      </c>
      <c r="AO95" t="str">
        <f t="shared" si="131"/>
        <v/>
      </c>
      <c r="AP95" t="str">
        <f t="shared" si="110"/>
        <v/>
      </c>
      <c r="AR95" s="6">
        <f t="shared" si="132"/>
        <v>4.7492877881849722</v>
      </c>
      <c r="AS95" s="6">
        <f t="shared" si="111"/>
        <v>2.1259259259259258</v>
      </c>
      <c r="AT95" s="6">
        <f t="shared" si="133"/>
        <v>2.6233618622590464</v>
      </c>
      <c r="AU95" s="178">
        <f t="shared" si="134"/>
        <v>0.44763047023907293</v>
      </c>
      <c r="AW95" s="6">
        <f>L*Iout^2/(2*Vripple1_spec*Vout*Npri_sec1^2)*1000000000*((1+N95)/(1-N95))^2</f>
        <v>12.324950464868163</v>
      </c>
      <c r="AX95" s="6">
        <f>L*F95^2/(2*Cout*Vout*Nps^2)*1000000000*((1+N95)/(1-N95))^2+F95*RCoutEsr</f>
        <v>27.649046493301821</v>
      </c>
      <c r="AY95" s="6">
        <f>L*Iout2^2/(2*Vripple2_spec*Vout2*Npri_sec2^2)*1000000000*((1+N95)/(1-N95))^2</f>
        <v>4.8144337753391264</v>
      </c>
      <c r="AZ95" s="6">
        <f>L*G95^2/(2*Cout2*Vout2*Npri_sec2^2)*1000000000*((1+N95)/(1-N95))^2+G95*CoutEsr2</f>
        <v>11.30665878644602</v>
      </c>
      <c r="BA95" s="6">
        <f>(H95+I95)/Efficiency/J95*AT95/Vinripple1</f>
        <v>4.2546531567242241</v>
      </c>
      <c r="BB95" s="470">
        <f>((BZ95/J95/Efficiency)*AT95/Cin+(BZ95/J95/Efficiency)*RCinEsr)*1000</f>
        <v>290.47329860520085</v>
      </c>
      <c r="BC95" s="6"/>
      <c r="BD95" s="178">
        <f t="shared" si="135"/>
        <v>1.5837369525607059</v>
      </c>
      <c r="BE95" s="178">
        <f t="shared" si="112"/>
        <v>1.7592926414974457</v>
      </c>
      <c r="BF95" s="178">
        <f t="shared" si="113"/>
        <v>1.0995579009359033</v>
      </c>
      <c r="BG95" s="178"/>
      <c r="BH95" s="543">
        <f t="shared" si="114"/>
        <v>0.27590450083968993</v>
      </c>
      <c r="BI95" s="543">
        <f t="shared" si="115"/>
        <v>0.11114824444061265</v>
      </c>
      <c r="BJ95" s="543">
        <f t="shared" si="116"/>
        <v>1.0527894334891088E-2</v>
      </c>
      <c r="BK95" s="543">
        <f t="shared" si="117"/>
        <v>3.1412933718429251E-2</v>
      </c>
      <c r="BL95">
        <f t="shared" si="118"/>
        <v>3.9150000000000001E-3</v>
      </c>
      <c r="BM95" s="470">
        <f t="shared" si="136"/>
        <v>432.90857333362294</v>
      </c>
      <c r="BN95" s="178">
        <f t="shared" si="119"/>
        <v>0.28800000000000003</v>
      </c>
      <c r="BO95" s="178">
        <f t="shared" si="120"/>
        <v>0.18000000000000002</v>
      </c>
      <c r="BP95" s="543"/>
      <c r="BR95" s="470">
        <f t="shared" si="137"/>
        <v>468.00000000000006</v>
      </c>
      <c r="BS95" s="543">
        <f t="shared" si="121"/>
        <v>0.10032890939625087</v>
      </c>
      <c r="BT95" s="543">
        <f t="shared" si="122"/>
        <v>0.12380442393708239</v>
      </c>
      <c r="BU95" s="543">
        <f t="shared" si="123"/>
        <v>3.6270827325317098E-2</v>
      </c>
      <c r="BV95" s="543">
        <f t="shared" si="124"/>
        <v>0</v>
      </c>
      <c r="BW95" s="648">
        <f t="shared" si="125"/>
        <v>0.13273042782713942</v>
      </c>
      <c r="BX95" s="470">
        <f t="shared" si="138"/>
        <v>393.13458848578978</v>
      </c>
      <c r="BY95" s="178">
        <f t="shared" si="139"/>
        <v>1.2940431618194128</v>
      </c>
      <c r="BZ95" s="6">
        <f t="shared" si="140"/>
        <v>14.040000000000001</v>
      </c>
      <c r="CA95" s="178">
        <f t="shared" si="141"/>
        <v>0.91560978744070054</v>
      </c>
      <c r="CB95" s="6">
        <f t="shared" si="142"/>
        <v>91.560978744070056</v>
      </c>
      <c r="CC95">
        <f t="shared" si="143"/>
        <v>90</v>
      </c>
      <c r="CE95" s="577">
        <f t="shared" si="126"/>
        <v>-50</v>
      </c>
      <c r="CF95">
        <f t="shared" si="127"/>
        <v>-50</v>
      </c>
    </row>
    <row r="96" spans="5:84" x14ac:dyDescent="0.2">
      <c r="E96" s="175">
        <v>91</v>
      </c>
      <c r="F96" s="222">
        <f t="shared" si="144"/>
        <v>0.72800000000000009</v>
      </c>
      <c r="G96" s="222">
        <f t="shared" si="128"/>
        <v>0.45500000000000002</v>
      </c>
      <c r="H96" s="222">
        <f t="shared" si="86"/>
        <v>8.7360000000000007</v>
      </c>
      <c r="I96" s="222">
        <f t="shared" si="145"/>
        <v>5.46</v>
      </c>
      <c r="J96" s="556">
        <f t="shared" si="87"/>
        <v>13.5</v>
      </c>
      <c r="K96" s="452">
        <f t="shared" si="88"/>
        <v>10.822686275636237</v>
      </c>
      <c r="L96" s="452">
        <f t="shared" si="89"/>
        <v>25.75</v>
      </c>
      <c r="M96" s="452"/>
      <c r="N96" s="222">
        <f t="shared" si="90"/>
        <v>0.47572815533980584</v>
      </c>
      <c r="O96" s="177">
        <f t="shared" si="129"/>
        <v>7.6969156086631818</v>
      </c>
      <c r="P96" s="177">
        <f t="shared" si="91"/>
        <v>7.8171799150485421</v>
      </c>
      <c r="Q96" s="222">
        <f t="shared" si="92"/>
        <v>0.64140963405526519</v>
      </c>
      <c r="R96" s="222">
        <f t="shared" si="93"/>
        <v>0.64140963405526519</v>
      </c>
      <c r="S96" s="452">
        <f t="shared" si="94"/>
        <v>10.572686275636237</v>
      </c>
      <c r="T96" s="222">
        <f t="shared" si="95"/>
        <v>4.0999999999999996</v>
      </c>
      <c r="U96" s="222">
        <f t="shared" si="96"/>
        <v>2.1259259259259258</v>
      </c>
      <c r="V96" s="222">
        <f t="shared" si="97"/>
        <v>2.6518370087663654</v>
      </c>
      <c r="W96" s="202">
        <f t="shared" si="98"/>
        <v>350</v>
      </c>
      <c r="X96" s="452">
        <f t="shared" si="130"/>
        <v>209.30297582134105</v>
      </c>
      <c r="Z96" s="222">
        <f t="shared" si="99"/>
        <v>2.4518348596214232</v>
      </c>
      <c r="AA96" s="178">
        <f t="shared" si="100"/>
        <v>1.5858210780798971</v>
      </c>
      <c r="AB96" s="178">
        <f t="shared" si="101"/>
        <v>0.68042999506277568</v>
      </c>
      <c r="AC96" s="178"/>
      <c r="AD96" s="178">
        <f t="shared" si="102"/>
        <v>0.53036740175327313</v>
      </c>
      <c r="AE96" s="560">
        <f t="shared" si="103"/>
        <v>3347.8862958541608</v>
      </c>
      <c r="AF96" s="543">
        <f t="shared" si="104"/>
        <v>7.6107722151594684E-2</v>
      </c>
      <c r="AH96" s="178">
        <f t="shared" si="105"/>
        <v>3.4041990876814814</v>
      </c>
      <c r="AI96" s="178">
        <f t="shared" si="106"/>
        <v>4.0999999999999996</v>
      </c>
      <c r="AJ96" s="178">
        <f t="shared" si="107"/>
        <v>3.6296296296296298</v>
      </c>
      <c r="AL96" s="560">
        <f t="shared" si="108"/>
        <v>728.00000000000011</v>
      </c>
      <c r="AM96" s="470">
        <f t="shared" si="109"/>
        <v>209.30297582134105</v>
      </c>
      <c r="AO96" t="str">
        <f t="shared" si="131"/>
        <v/>
      </c>
      <c r="AP96" t="str">
        <f t="shared" si="110"/>
        <v/>
      </c>
      <c r="AR96" s="6">
        <f t="shared" si="132"/>
        <v>4.7777629346922907</v>
      </c>
      <c r="AS96" s="6">
        <f t="shared" si="111"/>
        <v>2.1259259259259258</v>
      </c>
      <c r="AT96" s="6">
        <f t="shared" si="133"/>
        <v>2.651837008766365</v>
      </c>
      <c r="AU96" s="178">
        <f t="shared" si="134"/>
        <v>0.44496262267203612</v>
      </c>
      <c r="AW96" s="6">
        <f>L*Iout^2/(2*Vripple1_spec*Vout*Npri_sec1^2)*1000000000*((1+N96)/(1-N96))^2</f>
        <v>12.324950464868163</v>
      </c>
      <c r="AX96" s="6">
        <f>L*F96^2/(2*Cout*Vout*Nps^2)*1000000000*((1+N96)/(1-N96))^2+F96*RCoutEsr</f>
        <v>28.242616544571899</v>
      </c>
      <c r="AY96" s="6">
        <f>L*Iout2^2/(2*Vripple2_spec*Vout2*Npri_sec2^2)*1000000000*((1+N96)/(1-N96))^2</f>
        <v>4.8144337753391264</v>
      </c>
      <c r="AZ96" s="6">
        <f>L*G96^2/(2*Cout2*Vout2*Npri_sec2^2)*1000000000*((1+N96)/(1-N96))^2+G96*CoutEsr2</f>
        <v>11.544147087723397</v>
      </c>
      <c r="BA96" s="6">
        <f>(H96+I96)/Efficiency/J96*AT96/Vinripple1</f>
        <v>4.3486221270894303</v>
      </c>
      <c r="BB96" s="470">
        <f>((BZ96/J96/Efficiency)*AT96/Cin+(BZ96/J96/Efficiency)*RCinEsr)*1000</f>
        <v>296.85269533292256</v>
      </c>
      <c r="BC96" s="6"/>
      <c r="BD96" s="178">
        <f t="shared" si="135"/>
        <v>1.5790104165918737</v>
      </c>
      <c r="BE96" s="178">
        <f t="shared" si="112"/>
        <v>1.7635360607675961</v>
      </c>
      <c r="BF96" s="178">
        <f t="shared" si="113"/>
        <v>1.1022100379797473</v>
      </c>
      <c r="BG96" s="178"/>
      <c r="BH96" s="543">
        <f t="shared" si="114"/>
        <v>0.27426012852762066</v>
      </c>
      <c r="BI96" s="543">
        <f t="shared" si="115"/>
        <v>0.1104858083616904</v>
      </c>
      <c r="BJ96" s="543">
        <f t="shared" si="116"/>
        <v>1.0465148791067051E-2</v>
      </c>
      <c r="BK96" s="543">
        <f t="shared" si="117"/>
        <v>3.1225714741246035E-2</v>
      </c>
      <c r="BL96">
        <f t="shared" si="118"/>
        <v>3.9150000000000001E-3</v>
      </c>
      <c r="BM96" s="470">
        <f t="shared" si="136"/>
        <v>430.35180042162415</v>
      </c>
      <c r="BN96" s="178">
        <f t="shared" si="119"/>
        <v>0.29120000000000007</v>
      </c>
      <c r="BO96" s="178">
        <f t="shared" si="120"/>
        <v>0.18200000000000002</v>
      </c>
      <c r="BP96" s="543"/>
      <c r="BR96" s="470">
        <f t="shared" si="137"/>
        <v>473.20000000000005</v>
      </c>
      <c r="BS96" s="543">
        <f t="shared" si="121"/>
        <v>9.9730955828225692E-2</v>
      </c>
      <c r="BT96" s="543">
        <f t="shared" si="122"/>
        <v>0.12440237750510762</v>
      </c>
      <c r="BU96" s="543">
        <f t="shared" si="123"/>
        <v>3.6446009034699474E-2</v>
      </c>
      <c r="BV96" s="543">
        <f t="shared" si="124"/>
        <v>0</v>
      </c>
      <c r="BW96" s="648">
        <f t="shared" si="125"/>
        <v>0.13193936338337789</v>
      </c>
      <c r="BX96" s="470">
        <f t="shared" si="138"/>
        <v>392.51870575141066</v>
      </c>
      <c r="BY96" s="178">
        <f t="shared" si="139"/>
        <v>1.2960705061730347</v>
      </c>
      <c r="BZ96" s="6">
        <f t="shared" si="140"/>
        <v>14.196000000000002</v>
      </c>
      <c r="CA96" s="178">
        <f t="shared" si="141"/>
        <v>0.91633974905700333</v>
      </c>
      <c r="CB96" s="6">
        <f t="shared" si="142"/>
        <v>91.633974905700327</v>
      </c>
      <c r="CC96">
        <f t="shared" si="143"/>
        <v>91</v>
      </c>
      <c r="CE96" s="577">
        <f t="shared" si="126"/>
        <v>-50</v>
      </c>
      <c r="CF96">
        <f t="shared" si="127"/>
        <v>-50</v>
      </c>
    </row>
    <row r="97" spans="5:84" x14ac:dyDescent="0.2">
      <c r="E97" s="175">
        <v>92</v>
      </c>
      <c r="F97" s="222">
        <f t="shared" si="144"/>
        <v>0.7360000000000001</v>
      </c>
      <c r="G97" s="222">
        <f t="shared" si="128"/>
        <v>0.46</v>
      </c>
      <c r="H97" s="222">
        <f t="shared" si="86"/>
        <v>8.8320000000000007</v>
      </c>
      <c r="I97" s="222">
        <f t="shared" si="145"/>
        <v>5.5200000000000005</v>
      </c>
      <c r="J97" s="556">
        <f t="shared" si="87"/>
        <v>13.5</v>
      </c>
      <c r="K97" s="452">
        <f t="shared" si="88"/>
        <v>10.707765772640192</v>
      </c>
      <c r="L97" s="452">
        <f t="shared" si="89"/>
        <v>25.75</v>
      </c>
      <c r="M97" s="452"/>
      <c r="N97" s="222">
        <f t="shared" si="90"/>
        <v>0.47572815533980584</v>
      </c>
      <c r="O97" s="177">
        <f t="shared" si="129"/>
        <v>7.6969156086631818</v>
      </c>
      <c r="P97" s="177">
        <f t="shared" si="91"/>
        <v>7.8171799150485421</v>
      </c>
      <c r="Q97" s="222">
        <f t="shared" si="92"/>
        <v>0.64140963405526519</v>
      </c>
      <c r="R97" s="222">
        <f t="shared" si="93"/>
        <v>0.64140963405526519</v>
      </c>
      <c r="S97" s="452">
        <f t="shared" si="94"/>
        <v>10.457765772640192</v>
      </c>
      <c r="T97" s="222">
        <f t="shared" si="95"/>
        <v>4.0999999999999996</v>
      </c>
      <c r="U97" s="222">
        <f t="shared" si="96"/>
        <v>2.1259259259259258</v>
      </c>
      <c r="V97" s="222">
        <f t="shared" si="97"/>
        <v>2.6802977025639119</v>
      </c>
      <c r="W97" s="202">
        <f t="shared" si="98"/>
        <v>350</v>
      </c>
      <c r="X97" s="452">
        <f t="shared" si="130"/>
        <v>208.06356035376777</v>
      </c>
      <c r="Z97" s="222">
        <f t="shared" si="99"/>
        <v>2.4373159927155652</v>
      </c>
      <c r="AA97" s="178">
        <f t="shared" si="100"/>
        <v>1.5933493794384903</v>
      </c>
      <c r="AB97" s="178">
        <f t="shared" si="101"/>
        <v>0.67961178678554934</v>
      </c>
      <c r="AC97" s="178"/>
      <c r="AD97" s="178">
        <f t="shared" si="102"/>
        <v>0.53605954051278237</v>
      </c>
      <c r="AE97" s="560">
        <f t="shared" si="103"/>
        <v>3348.7361301364767</v>
      </c>
      <c r="AF97" s="543">
        <f t="shared" si="104"/>
        <v>7.692454406358426E-2</v>
      </c>
      <c r="AH97" s="178">
        <f t="shared" si="105"/>
        <v>3.4228523729993001</v>
      </c>
      <c r="AI97" s="178">
        <f t="shared" si="106"/>
        <v>4.0999999999999996</v>
      </c>
      <c r="AJ97" s="178">
        <f t="shared" si="107"/>
        <v>3.6296296296296298</v>
      </c>
      <c r="AL97" s="560">
        <f t="shared" si="108"/>
        <v>736.00000000000011</v>
      </c>
      <c r="AM97" s="470">
        <f t="shared" si="109"/>
        <v>208.06356035376777</v>
      </c>
      <c r="AO97" t="str">
        <f t="shared" si="131"/>
        <v/>
      </c>
      <c r="AP97" t="str">
        <f t="shared" si="110"/>
        <v/>
      </c>
      <c r="AR97" s="6">
        <f t="shared" si="132"/>
        <v>4.8062236284898372</v>
      </c>
      <c r="AS97" s="6">
        <f t="shared" si="111"/>
        <v>2.1259259259259258</v>
      </c>
      <c r="AT97" s="6">
        <f t="shared" si="133"/>
        <v>2.6802977025639114</v>
      </c>
      <c r="AU97" s="178">
        <f t="shared" si="134"/>
        <v>0.44232771719652852</v>
      </c>
      <c r="AW97" s="6">
        <f>L*Iout^2/(2*Vripple1_spec*Vout*Npri_sec1^2)*1000000000*((1+N97)/(1-N97))^2</f>
        <v>12.324950464868163</v>
      </c>
      <c r="AX97" s="6">
        <f>L*F97^2/(2*Cout*Vout*Nps^2)*1000000000*((1+N97)/(1-N97))^2+F97*RCoutEsr</f>
        <v>28.842480187568718</v>
      </c>
      <c r="AY97" s="6">
        <f>L*Iout2^2/(2*Vripple2_spec*Vout2*Npri_sec2^2)*1000000000*((1+N97)/(1-N97))^2</f>
        <v>4.8144337753391264</v>
      </c>
      <c r="AZ97" s="6">
        <f>L*G97^2/(2*Cout2*Vout2*Npri_sec2^2)*1000000000*((1+N97)/(1-N97))^2+G97*CoutEsr2</f>
        <v>11.784093823269028</v>
      </c>
      <c r="BA97" s="6">
        <f>(H97+I97)/Efficiency/J97*AT97/Vinripple1</f>
        <v>4.4435934014522855</v>
      </c>
      <c r="BB97" s="470">
        <f>((BZ97/J97/Efficiency)*AT97/Cin+(BZ97/J97/Efficiency)*RCinEsr)*1000</f>
        <v>303.29974758048547</v>
      </c>
      <c r="BC97" s="6"/>
      <c r="BD97" s="178">
        <f t="shared" si="135"/>
        <v>1.5743283145597515</v>
      </c>
      <c r="BE97" s="178">
        <f t="shared" si="112"/>
        <v>1.7677170846345251</v>
      </c>
      <c r="BF97" s="178">
        <f t="shared" si="113"/>
        <v>1.104823177896578</v>
      </c>
      <c r="BG97" s="178"/>
      <c r="BH97" s="543">
        <f t="shared" si="114"/>
        <v>0.27263606062270029</v>
      </c>
      <c r="BI97" s="543">
        <f t="shared" si="115"/>
        <v>0.10983155192174517</v>
      </c>
      <c r="BJ97" s="543">
        <f t="shared" si="116"/>
        <v>1.0403178017688388E-2</v>
      </c>
      <c r="BK97" s="543">
        <f t="shared" si="117"/>
        <v>3.1040807509590779E-2</v>
      </c>
      <c r="BL97">
        <f t="shared" si="118"/>
        <v>3.9150000000000001E-3</v>
      </c>
      <c r="BM97" s="470">
        <f t="shared" si="136"/>
        <v>427.82659807172456</v>
      </c>
      <c r="BN97" s="178">
        <f t="shared" si="119"/>
        <v>0.29440000000000005</v>
      </c>
      <c r="BO97" s="178">
        <f t="shared" si="120"/>
        <v>0.18400000000000002</v>
      </c>
      <c r="BP97" s="543"/>
      <c r="BR97" s="470">
        <f t="shared" si="137"/>
        <v>478.40000000000003</v>
      </c>
      <c r="BS97" s="543">
        <f t="shared" si="121"/>
        <v>9.9140385680981921E-2</v>
      </c>
      <c r="BT97" s="543">
        <f t="shared" si="122"/>
        <v>0.1249929476523514</v>
      </c>
      <c r="BU97" s="543">
        <f t="shared" si="123"/>
        <v>3.6619027632524809E-2</v>
      </c>
      <c r="BV97" s="543">
        <f t="shared" si="124"/>
        <v>0</v>
      </c>
      <c r="BW97" s="648">
        <f t="shared" si="125"/>
        <v>0.13115806685800638</v>
      </c>
      <c r="BX97" s="470">
        <f t="shared" si="138"/>
        <v>391.91042782386455</v>
      </c>
      <c r="BY97" s="178">
        <f t="shared" si="139"/>
        <v>1.2981370258955893</v>
      </c>
      <c r="BZ97" s="6">
        <f t="shared" si="140"/>
        <v>14.352</v>
      </c>
      <c r="CA97" s="178">
        <f t="shared" si="141"/>
        <v>0.91705267348473574</v>
      </c>
      <c r="CB97" s="6">
        <f t="shared" si="142"/>
        <v>91.705267348473569</v>
      </c>
      <c r="CC97">
        <f t="shared" si="143"/>
        <v>92</v>
      </c>
      <c r="CE97" s="577">
        <f t="shared" si="126"/>
        <v>-50</v>
      </c>
      <c r="CF97">
        <f t="shared" si="127"/>
        <v>-50</v>
      </c>
    </row>
    <row r="98" spans="5:84" x14ac:dyDescent="0.2">
      <c r="E98" s="175">
        <v>93</v>
      </c>
      <c r="F98" s="222">
        <f t="shared" si="144"/>
        <v>0.74400000000000011</v>
      </c>
      <c r="G98" s="222">
        <f t="shared" si="128"/>
        <v>0.46500000000000002</v>
      </c>
      <c r="H98" s="222">
        <f t="shared" si="86"/>
        <v>8.9280000000000008</v>
      </c>
      <c r="I98" s="222">
        <f t="shared" si="145"/>
        <v>5.58</v>
      </c>
      <c r="J98" s="556">
        <f t="shared" si="87"/>
        <v>13.5</v>
      </c>
      <c r="K98" s="452">
        <f t="shared" si="88"/>
        <v>10.595316678310727</v>
      </c>
      <c r="L98" s="452">
        <f t="shared" si="89"/>
        <v>25.75</v>
      </c>
      <c r="M98" s="452"/>
      <c r="N98" s="222">
        <f t="shared" si="90"/>
        <v>0.47572815533980584</v>
      </c>
      <c r="O98" s="177">
        <f t="shared" si="129"/>
        <v>7.6969156086631818</v>
      </c>
      <c r="P98" s="177">
        <f t="shared" si="91"/>
        <v>7.8171799150485421</v>
      </c>
      <c r="Q98" s="222">
        <f t="shared" si="92"/>
        <v>0.64140963405526519</v>
      </c>
      <c r="R98" s="222">
        <f t="shared" si="93"/>
        <v>0.64140963405526519</v>
      </c>
      <c r="S98" s="452">
        <f t="shared" si="94"/>
        <v>10.345316678310727</v>
      </c>
      <c r="T98" s="222">
        <f t="shared" si="95"/>
        <v>4.0999999999999996</v>
      </c>
      <c r="U98" s="222">
        <f t="shared" si="96"/>
        <v>2.1259259259259258</v>
      </c>
      <c r="V98" s="222">
        <f t="shared" si="97"/>
        <v>2.7087439546522174</v>
      </c>
      <c r="W98" s="202">
        <f t="shared" si="98"/>
        <v>350</v>
      </c>
      <c r="X98" s="452">
        <f t="shared" si="130"/>
        <v>206.83935505445868</v>
      </c>
      <c r="Z98" s="222">
        <f t="shared" si="99"/>
        <v>2.4229753020665159</v>
      </c>
      <c r="AA98" s="178">
        <f t="shared" si="100"/>
        <v>1.6007852931083677</v>
      </c>
      <c r="AB98" s="178">
        <f t="shared" si="101"/>
        <v>0.67876606509475457</v>
      </c>
      <c r="AC98" s="178"/>
      <c r="AD98" s="178">
        <f t="shared" si="102"/>
        <v>0.54174879093044359</v>
      </c>
      <c r="AE98" s="560">
        <f t="shared" si="103"/>
        <v>3349.5859644187908</v>
      </c>
      <c r="AF98" s="543">
        <f t="shared" si="104"/>
        <v>7.7740951498518646E-2</v>
      </c>
      <c r="AH98" s="178">
        <f t="shared" si="105"/>
        <v>3.4414045542659539</v>
      </c>
      <c r="AI98" s="178">
        <f t="shared" si="106"/>
        <v>4.0999999999999996</v>
      </c>
      <c r="AJ98" s="178">
        <f t="shared" si="107"/>
        <v>3.6296296296296298</v>
      </c>
      <c r="AL98" s="560">
        <f t="shared" si="108"/>
        <v>744.00000000000011</v>
      </c>
      <c r="AM98" s="470">
        <f t="shared" si="109"/>
        <v>206.83935505445868</v>
      </c>
      <c r="AO98" t="str">
        <f t="shared" si="131"/>
        <v/>
      </c>
      <c r="AP98" t="str">
        <f t="shared" si="110"/>
        <v/>
      </c>
      <c r="AR98" s="6">
        <f t="shared" si="132"/>
        <v>4.8346698805781436</v>
      </c>
      <c r="AS98" s="6">
        <f t="shared" si="111"/>
        <v>2.1259259259259258</v>
      </c>
      <c r="AT98" s="6">
        <f t="shared" si="133"/>
        <v>2.7087439546522178</v>
      </c>
      <c r="AU98" s="178">
        <f t="shared" si="134"/>
        <v>0.43972514741207136</v>
      </c>
      <c r="AW98" s="6">
        <f>L*Iout^2/(2*Vripple1_spec*Vout*Npri_sec1^2)*1000000000*((1+N98)/(1-N98))^2</f>
        <v>12.324950464868163</v>
      </c>
      <c r="AX98" s="6">
        <f>L*F98^2/(2*Cout*Vout*Nps^2)*1000000000*((1+N98)/(1-N98))^2+F98*RCoutEsr</f>
        <v>29.448637422292276</v>
      </c>
      <c r="AY98" s="6">
        <f>L*Iout2^2/(2*Vripple2_spec*Vout2*Npri_sec2^2)*1000000000*((1+N98)/(1-N98))^2</f>
        <v>4.8144337753391264</v>
      </c>
      <c r="AZ98" s="6">
        <f>L*G98^2/(2*Cout2*Vout2*Npri_sec2^2)*1000000000*((1+N98)/(1-N98))^2+G98*CoutEsr2</f>
        <v>12.026498993082919</v>
      </c>
      <c r="BA98" s="6">
        <f>(H98+I98)/Efficiency/J98*AT98/Vinripple1</f>
        <v>4.5395662169194289</v>
      </c>
      <c r="BB98" s="470">
        <f>((BZ98/J98/Efficiency)*AT98/Cin+(BZ98/J98/Efficiency)*RCinEsr)*1000</f>
        <v>309.81440385258782</v>
      </c>
      <c r="BC98" s="6"/>
      <c r="BD98" s="178">
        <f t="shared" si="135"/>
        <v>1.569689961743711</v>
      </c>
      <c r="BE98" s="178">
        <f t="shared" si="112"/>
        <v>1.7718371136575617</v>
      </c>
      <c r="BF98" s="178">
        <f t="shared" si="113"/>
        <v>1.1073981960359758</v>
      </c>
      <c r="BG98" s="178"/>
      <c r="BH98" s="543">
        <f t="shared" si="114"/>
        <v>0.27103192335988702</v>
      </c>
      <c r="BI98" s="543">
        <f t="shared" si="115"/>
        <v>0.10918532454937237</v>
      </c>
      <c r="BJ98" s="543">
        <f t="shared" si="116"/>
        <v>1.0341967752722933E-2</v>
      </c>
      <c r="BK98" s="543">
        <f t="shared" si="117"/>
        <v>3.0858169468679326E-2</v>
      </c>
      <c r="BL98">
        <f t="shared" si="118"/>
        <v>3.9150000000000001E-3</v>
      </c>
      <c r="BM98" s="470">
        <f t="shared" si="136"/>
        <v>425.33238513066163</v>
      </c>
      <c r="BN98" s="178">
        <f t="shared" si="119"/>
        <v>0.29760000000000003</v>
      </c>
      <c r="BO98" s="178">
        <f t="shared" si="120"/>
        <v>0.18600000000000003</v>
      </c>
      <c r="BP98" s="543"/>
      <c r="BR98" s="470">
        <f t="shared" si="137"/>
        <v>483.6</v>
      </c>
      <c r="BS98" s="543">
        <f t="shared" si="121"/>
        <v>9.8557063039958911E-2</v>
      </c>
      <c r="BT98" s="543">
        <f t="shared" si="122"/>
        <v>0.12557627029337437</v>
      </c>
      <c r="BU98" s="543">
        <f t="shared" si="123"/>
        <v>3.6789922937512001E-2</v>
      </c>
      <c r="BV98" s="543">
        <f t="shared" si="124"/>
        <v>0</v>
      </c>
      <c r="BW98" s="648">
        <f t="shared" si="125"/>
        <v>0.13038635844245439</v>
      </c>
      <c r="BX98" s="470">
        <f t="shared" si="138"/>
        <v>391.30961471329965</v>
      </c>
      <c r="BY98" s="178">
        <f t="shared" si="139"/>
        <v>1.3002419998439616</v>
      </c>
      <c r="BZ98" s="6">
        <f t="shared" si="140"/>
        <v>14.508000000000001</v>
      </c>
      <c r="CA98" s="178">
        <f t="shared" si="141"/>
        <v>0.91774910835393364</v>
      </c>
      <c r="CB98" s="6">
        <f t="shared" si="142"/>
        <v>91.774910835393371</v>
      </c>
      <c r="CC98">
        <f t="shared" si="143"/>
        <v>93</v>
      </c>
      <c r="CE98" s="577">
        <f t="shared" si="126"/>
        <v>-50</v>
      </c>
      <c r="CF98">
        <f t="shared" si="127"/>
        <v>-50</v>
      </c>
    </row>
    <row r="99" spans="5:84" x14ac:dyDescent="0.2">
      <c r="E99" s="175">
        <v>94</v>
      </c>
      <c r="F99" s="222">
        <f t="shared" si="144"/>
        <v>0.752</v>
      </c>
      <c r="G99" s="222">
        <f t="shared" si="128"/>
        <v>0.47</v>
      </c>
      <c r="H99" s="222">
        <f t="shared" si="86"/>
        <v>9.0240000000000009</v>
      </c>
      <c r="I99" s="222">
        <f t="shared" si="145"/>
        <v>5.64</v>
      </c>
      <c r="J99" s="556">
        <f t="shared" si="87"/>
        <v>13.5</v>
      </c>
      <c r="K99" s="452">
        <f t="shared" si="88"/>
        <v>10.485260117903167</v>
      </c>
      <c r="L99" s="452">
        <f t="shared" si="89"/>
        <v>25.75</v>
      </c>
      <c r="M99" s="452"/>
      <c r="N99" s="222">
        <f t="shared" si="90"/>
        <v>0.47572815533980584</v>
      </c>
      <c r="O99" s="177">
        <f t="shared" si="129"/>
        <v>7.6969156086631818</v>
      </c>
      <c r="P99" s="177">
        <f t="shared" si="91"/>
        <v>7.8171799150485421</v>
      </c>
      <c r="Q99" s="222">
        <f t="shared" si="92"/>
        <v>0.64140963405526519</v>
      </c>
      <c r="R99" s="222">
        <f t="shared" si="93"/>
        <v>0.64140963405526519</v>
      </c>
      <c r="S99" s="452">
        <f t="shared" si="94"/>
        <v>10.235260117903167</v>
      </c>
      <c r="T99" s="222">
        <f t="shared" si="95"/>
        <v>4.0999999999999996</v>
      </c>
      <c r="U99" s="222">
        <f t="shared" si="96"/>
        <v>2.1259259259259258</v>
      </c>
      <c r="V99" s="222">
        <f t="shared" si="97"/>
        <v>2.7371757760206523</v>
      </c>
      <c r="W99" s="202">
        <f t="shared" si="98"/>
        <v>350</v>
      </c>
      <c r="X99" s="452">
        <f t="shared" si="130"/>
        <v>205.63008164104917</v>
      </c>
      <c r="Z99" s="222">
        <f t="shared" si="99"/>
        <v>2.4088095277951473</v>
      </c>
      <c r="AA99" s="178">
        <f t="shared" si="100"/>
        <v>1.6081305093972256</v>
      </c>
      <c r="AB99" s="178">
        <f t="shared" si="101"/>
        <v>0.67789401627046764</v>
      </c>
      <c r="AC99" s="178"/>
      <c r="AD99" s="178">
        <f t="shared" si="102"/>
        <v>0.54743515520413044</v>
      </c>
      <c r="AE99" s="560">
        <f t="shared" si="103"/>
        <v>3350.4357987011063</v>
      </c>
      <c r="AF99" s="543">
        <f t="shared" si="104"/>
        <v>7.8556944771792717E-2</v>
      </c>
      <c r="AH99" s="178">
        <f t="shared" si="105"/>
        <v>3.459857257878995</v>
      </c>
      <c r="AI99" s="178">
        <f t="shared" si="106"/>
        <v>4.0999999999999996</v>
      </c>
      <c r="AJ99" s="178">
        <f t="shared" si="107"/>
        <v>3.6296296296296298</v>
      </c>
      <c r="AL99" s="560">
        <f t="shared" si="108"/>
        <v>752</v>
      </c>
      <c r="AM99" s="470">
        <f t="shared" si="109"/>
        <v>205.63008164104917</v>
      </c>
      <c r="AO99" t="str">
        <f t="shared" si="131"/>
        <v/>
      </c>
      <c r="AP99" t="str">
        <f t="shared" si="110"/>
        <v/>
      </c>
      <c r="AR99" s="6">
        <f t="shared" si="132"/>
        <v>4.8631017019465776</v>
      </c>
      <c r="AS99" s="6">
        <f t="shared" si="111"/>
        <v>2.1259259259259258</v>
      </c>
      <c r="AT99" s="6">
        <f t="shared" si="133"/>
        <v>2.7371757760206519</v>
      </c>
      <c r="AU99" s="178">
        <f t="shared" si="134"/>
        <v>0.43715432171097118</v>
      </c>
      <c r="AW99" s="6">
        <f>L*Iout^2/(2*Vripple1_spec*Vout*Npri_sec1^2)*1000000000*((1+N99)/(1-N99))^2</f>
        <v>12.324950464868163</v>
      </c>
      <c r="AX99" s="6">
        <f>L*F99^2/(2*Cout*Vout*Nps^2)*1000000000*((1+N99)/(1-N99))^2+F99*RCoutEsr</f>
        <v>30.061088248742575</v>
      </c>
      <c r="AY99" s="6">
        <f>L*Iout2^2/(2*Vripple2_spec*Vout2*Npri_sec2^2)*1000000000*((1+N99)/(1-N99))^2</f>
        <v>4.8144337753391264</v>
      </c>
      <c r="AZ99" s="6">
        <f>L*G99^2/(2*Cout2*Vout2*Npri_sec2^2)*1000000000*((1+N99)/(1-N99))^2+G99*CoutEsr2</f>
        <v>12.271362597165066</v>
      </c>
      <c r="BA99" s="6">
        <f>(H99+I99)/Efficiency/J99*AT99/Vinripple1</f>
        <v>4.6365398113715219</v>
      </c>
      <c r="BB99" s="470">
        <f>((BZ99/J99/Efficiency)*AT99/Cin+(BZ99/J99/Efficiency)*RCinEsr)*1000</f>
        <v>316.39661270617427</v>
      </c>
      <c r="BC99" s="6"/>
      <c r="BD99" s="178">
        <f t="shared" si="135"/>
        <v>1.5650946880792256</v>
      </c>
      <c r="BE99" s="178">
        <f t="shared" si="112"/>
        <v>1.7758975056797406</v>
      </c>
      <c r="BF99" s="178">
        <f t="shared" si="113"/>
        <v>1.1099359410498377</v>
      </c>
      <c r="BG99" s="178"/>
      <c r="BH99" s="543">
        <f t="shared" si="114"/>
        <v>0.26944735209191895</v>
      </c>
      <c r="BI99" s="543">
        <f t="shared" si="115"/>
        <v>0.10854697934626881</v>
      </c>
      <c r="BJ99" s="543">
        <f t="shared" si="116"/>
        <v>1.0281504082052459E-2</v>
      </c>
      <c r="BK99" s="543">
        <f t="shared" si="117"/>
        <v>3.0677759101826588E-2</v>
      </c>
      <c r="BL99">
        <f t="shared" si="118"/>
        <v>3.9150000000000001E-3</v>
      </c>
      <c r="BM99" s="470">
        <f t="shared" si="136"/>
        <v>422.86859462206678</v>
      </c>
      <c r="BN99" s="178">
        <f t="shared" si="119"/>
        <v>0.30080000000000001</v>
      </c>
      <c r="BO99" s="178">
        <f t="shared" si="120"/>
        <v>0.188</v>
      </c>
      <c r="BP99" s="543"/>
      <c r="BR99" s="470">
        <f t="shared" si="137"/>
        <v>488.8</v>
      </c>
      <c r="BS99" s="543">
        <f t="shared" si="121"/>
        <v>9.7980855306152345E-2</v>
      </c>
      <c r="BT99" s="543">
        <f t="shared" si="122"/>
        <v>0.12615247802718096</v>
      </c>
      <c r="BU99" s="543">
        <f t="shared" si="123"/>
        <v>3.6958733797025661E-2</v>
      </c>
      <c r="BV99" s="543">
        <f t="shared" si="124"/>
        <v>0</v>
      </c>
      <c r="BW99" s="648">
        <f t="shared" si="125"/>
        <v>0.12962406271447638</v>
      </c>
      <c r="BX99" s="470">
        <f t="shared" si="138"/>
        <v>390.71612984483528</v>
      </c>
      <c r="BY99" s="178">
        <f t="shared" si="139"/>
        <v>1.3023847244669022</v>
      </c>
      <c r="BZ99" s="6">
        <f t="shared" si="140"/>
        <v>14.664000000000001</v>
      </c>
      <c r="CA99" s="178">
        <f t="shared" si="141"/>
        <v>0.91842957895965471</v>
      </c>
      <c r="CB99" s="6">
        <f t="shared" si="142"/>
        <v>91.842957895965469</v>
      </c>
      <c r="CC99">
        <f t="shared" si="143"/>
        <v>94</v>
      </c>
      <c r="CE99" s="577">
        <f t="shared" si="126"/>
        <v>-50</v>
      </c>
      <c r="CF99">
        <f t="shared" si="127"/>
        <v>-50</v>
      </c>
    </row>
    <row r="100" spans="5:84" x14ac:dyDescent="0.2">
      <c r="E100" s="175">
        <v>95</v>
      </c>
      <c r="F100" s="222">
        <f t="shared" si="144"/>
        <v>0.76</v>
      </c>
      <c r="G100" s="222">
        <f t="shared" si="128"/>
        <v>0.47499999999999998</v>
      </c>
      <c r="H100" s="222">
        <f t="shared" si="86"/>
        <v>9.120000000000001</v>
      </c>
      <c r="I100" s="222">
        <f t="shared" si="145"/>
        <v>5.6999999999999993</v>
      </c>
      <c r="J100" s="556">
        <f t="shared" si="87"/>
        <v>13.5</v>
      </c>
      <c r="K100" s="452">
        <f t="shared" si="88"/>
        <v>10.377520537714712</v>
      </c>
      <c r="L100" s="452">
        <f t="shared" si="89"/>
        <v>25.75</v>
      </c>
      <c r="M100" s="452"/>
      <c r="N100" s="222">
        <f t="shared" si="90"/>
        <v>0.47572815533980584</v>
      </c>
      <c r="O100" s="177">
        <f t="shared" si="129"/>
        <v>7.6969156086631818</v>
      </c>
      <c r="P100" s="177">
        <f t="shared" si="91"/>
        <v>7.8171799150485421</v>
      </c>
      <c r="Q100" s="222">
        <f t="shared" si="92"/>
        <v>0.64140963405526519</v>
      </c>
      <c r="R100" s="222">
        <f t="shared" si="93"/>
        <v>0.64140963405526519</v>
      </c>
      <c r="S100" s="452">
        <f t="shared" si="94"/>
        <v>10.127520537714712</v>
      </c>
      <c r="T100" s="222">
        <f t="shared" si="95"/>
        <v>4.0999999999999996</v>
      </c>
      <c r="U100" s="222">
        <f t="shared" si="96"/>
        <v>2.1259259259259258</v>
      </c>
      <c r="V100" s="222">
        <f t="shared" si="97"/>
        <v>2.7655931776474394</v>
      </c>
      <c r="W100" s="202">
        <f t="shared" si="98"/>
        <v>350</v>
      </c>
      <c r="X100" s="452">
        <f t="shared" si="130"/>
        <v>204.43546857856026</v>
      </c>
      <c r="Z100" s="222">
        <f t="shared" si="99"/>
        <v>2.3948154890631344</v>
      </c>
      <c r="AA100" s="178">
        <f t="shared" si="100"/>
        <v>1.6153866776286394</v>
      </c>
      <c r="AB100" s="178">
        <f t="shared" si="101"/>
        <v>0.67699678137197783</v>
      </c>
      <c r="AC100" s="178"/>
      <c r="AD100" s="178">
        <f t="shared" si="102"/>
        <v>0.55311863552948792</v>
      </c>
      <c r="AE100" s="560">
        <f t="shared" si="103"/>
        <v>3351.2856329834208</v>
      </c>
      <c r="AF100" s="543">
        <f t="shared" si="104"/>
        <v>7.9372524198481509E-2</v>
      </c>
      <c r="AH100" s="178">
        <f t="shared" si="105"/>
        <v>3.478212067093303</v>
      </c>
      <c r="AI100" s="178">
        <f t="shared" si="106"/>
        <v>4.0999999999999996</v>
      </c>
      <c r="AJ100" s="178">
        <f t="shared" si="107"/>
        <v>3.6296296296296298</v>
      </c>
      <c r="AL100" s="560">
        <f t="shared" si="108"/>
        <v>760</v>
      </c>
      <c r="AM100" s="470">
        <f t="shared" si="109"/>
        <v>204.43546857856026</v>
      </c>
      <c r="AO100" t="str">
        <f t="shared" si="131"/>
        <v/>
      </c>
      <c r="AP100" t="str">
        <f t="shared" si="110"/>
        <v/>
      </c>
      <c r="AR100" s="6">
        <f t="shared" si="132"/>
        <v>4.8915191035733656</v>
      </c>
      <c r="AS100" s="6">
        <f t="shared" si="111"/>
        <v>2.1259259259259258</v>
      </c>
      <c r="AT100" s="6">
        <f t="shared" si="133"/>
        <v>2.7655931776474398</v>
      </c>
      <c r="AU100" s="178">
        <f t="shared" si="134"/>
        <v>0.43461466282997618</v>
      </c>
      <c r="AW100" s="6">
        <f>L*Iout^2/(2*Vripple1_spec*Vout*Npri_sec1^2)*1000000000*((1+N100)/(1-N100))^2</f>
        <v>12.324950464868163</v>
      </c>
      <c r="AX100" s="6">
        <f>L*F100^2/(2*Cout*Vout*Nps^2)*1000000000*((1+N100)/(1-N100))^2+F100*RCoutEsr</f>
        <v>30.679832666919612</v>
      </c>
      <c r="AY100" s="6">
        <f>L*Iout2^2/(2*Vripple2_spec*Vout2*Npri_sec2^2)*1000000000*((1+N100)/(1-N100))^2</f>
        <v>4.8144337753391264</v>
      </c>
      <c r="AZ100" s="6">
        <f>L*G100^2/(2*Cout2*Vout2*Npri_sec2^2)*1000000000*((1+N100)/(1-N100))^2+G100*CoutEsr2</f>
        <v>12.518684635515474</v>
      </c>
      <c r="BA100" s="6">
        <f>(H100+I100)/Efficiency/J100*AT100/Vinripple1</f>
        <v>4.7345134234622837</v>
      </c>
      <c r="BB100" s="470">
        <f>((BZ100/J100/Efficiency)*AT100/Cin+(BZ100/J100/Efficiency)*RCinEsr)*1000</f>
        <v>323.04632275037085</v>
      </c>
      <c r="BC100" s="6"/>
      <c r="BD100" s="178">
        <f t="shared" si="135"/>
        <v>1.5605418377572045</v>
      </c>
      <c r="BE100" s="178">
        <f t="shared" si="112"/>
        <v>1.7798995774882076</v>
      </c>
      <c r="BF100" s="178">
        <f t="shared" si="113"/>
        <v>1.1124372359301296</v>
      </c>
      <c r="BG100" s="178"/>
      <c r="BH100" s="543">
        <f t="shared" si="114"/>
        <v>0.26788199101296967</v>
      </c>
      <c r="BI100" s="543">
        <f t="shared" si="115"/>
        <v>0.10791637297590749</v>
      </c>
      <c r="BJ100" s="543">
        <f t="shared" si="116"/>
        <v>1.0221773428928013E-2</v>
      </c>
      <c r="BK100" s="543">
        <f t="shared" si="117"/>
        <v>3.0499535898983611E-2</v>
      </c>
      <c r="BL100">
        <f t="shared" si="118"/>
        <v>3.9150000000000001E-3</v>
      </c>
      <c r="BM100" s="470">
        <f t="shared" si="136"/>
        <v>420.4346733167888</v>
      </c>
      <c r="BN100" s="178">
        <f t="shared" si="119"/>
        <v>0.30400000000000005</v>
      </c>
      <c r="BO100" s="178">
        <f t="shared" si="120"/>
        <v>0.19</v>
      </c>
      <c r="BP100" s="543"/>
      <c r="BR100" s="470">
        <f t="shared" si="137"/>
        <v>494.00000000000006</v>
      </c>
      <c r="BS100" s="543">
        <f t="shared" si="121"/>
        <v>9.7411633095625325E-2</v>
      </c>
      <c r="BT100" s="543">
        <f t="shared" si="122"/>
        <v>0.12672170023770801</v>
      </c>
      <c r="BU100" s="543">
        <f t="shared" si="123"/>
        <v>3.7125498116515998E-2</v>
      </c>
      <c r="BV100" s="543">
        <f t="shared" si="124"/>
        <v>0</v>
      </c>
      <c r="BW100" s="648">
        <f t="shared" si="125"/>
        <v>0.12887100850520994</v>
      </c>
      <c r="BX100" s="470">
        <f t="shared" si="138"/>
        <v>390.12983995505931</v>
      </c>
      <c r="BY100" s="178">
        <f t="shared" si="139"/>
        <v>1.3045645132718482</v>
      </c>
      <c r="BZ100" s="6">
        <f t="shared" si="140"/>
        <v>14.82</v>
      </c>
      <c r="CA100" s="178">
        <f t="shared" si="141"/>
        <v>0.91909458936406718</v>
      </c>
      <c r="CB100" s="6">
        <f t="shared" si="142"/>
        <v>91.909458936406722</v>
      </c>
      <c r="CC100">
        <f t="shared" si="143"/>
        <v>95</v>
      </c>
      <c r="CE100" s="577">
        <f t="shared" si="126"/>
        <v>-50</v>
      </c>
      <c r="CF100">
        <f t="shared" si="127"/>
        <v>-50</v>
      </c>
    </row>
    <row r="101" spans="5:84" x14ac:dyDescent="0.2">
      <c r="E101" s="175">
        <v>96</v>
      </c>
      <c r="F101" s="222">
        <f t="shared" si="144"/>
        <v>0.76800000000000002</v>
      </c>
      <c r="G101" s="222">
        <f t="shared" si="128"/>
        <v>0.48</v>
      </c>
      <c r="H101" s="222">
        <f t="shared" si="86"/>
        <v>9.2160000000000011</v>
      </c>
      <c r="I101" s="222">
        <f t="shared" si="145"/>
        <v>5.76</v>
      </c>
      <c r="J101" s="556">
        <f t="shared" si="87"/>
        <v>13.5</v>
      </c>
      <c r="K101" s="452">
        <f t="shared" si="88"/>
        <v>10.272025532113517</v>
      </c>
      <c r="L101" s="452">
        <f t="shared" si="89"/>
        <v>25.75</v>
      </c>
      <c r="M101" s="452"/>
      <c r="N101" s="222">
        <f t="shared" si="90"/>
        <v>0.47572815533980584</v>
      </c>
      <c r="O101" s="177">
        <f t="shared" si="129"/>
        <v>7.6969156086631818</v>
      </c>
      <c r="P101" s="177">
        <f t="shared" si="91"/>
        <v>7.8171799150485421</v>
      </c>
      <c r="Q101" s="222">
        <f t="shared" si="92"/>
        <v>0.64140963405526519</v>
      </c>
      <c r="R101" s="222">
        <f t="shared" si="93"/>
        <v>0.64140963405526519</v>
      </c>
      <c r="S101" s="452">
        <f t="shared" si="94"/>
        <v>10.022025532113517</v>
      </c>
      <c r="T101" s="222">
        <f t="shared" si="95"/>
        <v>4.0999999999999996</v>
      </c>
      <c r="U101" s="222">
        <f t="shared" si="96"/>
        <v>2.1259259259259258</v>
      </c>
      <c r="V101" s="222">
        <f t="shared" si="97"/>
        <v>2.7939961704996694</v>
      </c>
      <c r="W101" s="202">
        <f t="shared" si="98"/>
        <v>350</v>
      </c>
      <c r="X101" s="452">
        <f t="shared" si="130"/>
        <v>203.25525087613002</v>
      </c>
      <c r="Z101" s="222">
        <f t="shared" si="99"/>
        <v>2.380990081691809</v>
      </c>
      <c r="AA101" s="178">
        <f t="shared" si="100"/>
        <v>1.6225554073767343</v>
      </c>
      <c r="AB101" s="178">
        <f t="shared" ref="AB101:AB105" si="146">0.5*AA101*Z101*Nps*W101/1000*(Pout/Pout_total)</f>
        <v>0.67607545809289793</v>
      </c>
      <c r="AC101" s="178"/>
      <c r="AD101" s="178">
        <f t="shared" si="102"/>
        <v>0.55879923409993393</v>
      </c>
      <c r="AE101" s="560">
        <f t="shared" ref="AE101:AE105" si="147">MAX(10, F101/(0.5*AD101/1000000*Isw_min*Nps)/1000*Pout_total/Pout)</f>
        <v>3352.1354672657353</v>
      </c>
      <c r="AF101" s="543">
        <f t="shared" si="104"/>
        <v>8.0187690093340508E-2</v>
      </c>
      <c r="AH101" s="178">
        <f t="shared" si="105"/>
        <v>3.4964705236064808</v>
      </c>
      <c r="AI101" s="178">
        <f t="shared" ref="AI101:AI105" si="148">MAX(IF(F101&gt;AB101,T101,AH101),Isw_min)</f>
        <v>4.0999999999999996</v>
      </c>
      <c r="AJ101" s="178">
        <f t="shared" ref="AJ101:AJ105" si="149">IF(F101&gt;AF101, (AI101-Isw_min)/1.08*0.8+1.2, AE101*0.2/350+1)</f>
        <v>3.6296296296296298</v>
      </c>
      <c r="AL101" s="560">
        <f t="shared" si="108"/>
        <v>768</v>
      </c>
      <c r="AM101" s="470">
        <f t="shared" si="109"/>
        <v>203.25525087613002</v>
      </c>
      <c r="AO101" t="str">
        <f t="shared" si="131"/>
        <v/>
      </c>
      <c r="AP101" t="str">
        <f t="shared" si="110"/>
        <v/>
      </c>
      <c r="AR101" s="6">
        <f t="shared" si="132"/>
        <v>4.9199220964255961</v>
      </c>
      <c r="AS101" s="6">
        <f t="shared" si="111"/>
        <v>2.1259259259259258</v>
      </c>
      <c r="AT101" s="6">
        <f t="shared" si="133"/>
        <v>2.7939961704996703</v>
      </c>
      <c r="AU101" s="178">
        <f t="shared" si="134"/>
        <v>0.43210560741814302</v>
      </c>
      <c r="AW101" s="6">
        <f>L*Iout^2/(2*Vripple1_spec*Vout*Npri_sec1^2)*1000000000*((1+N101)/(1-N101))^2</f>
        <v>12.324950464868163</v>
      </c>
      <c r="AX101" s="6">
        <f>L*F101^2/(2*Cout*Vout*Nps^2)*1000000000*((1+N101)/(1-N101))^2+F101*RCoutEsr</f>
        <v>31.304870676823398</v>
      </c>
      <c r="AY101" s="6">
        <f>L*Iout2^2/(2*Vripple2_spec*Vout2*Npri_sec2^2)*1000000000*((1+N101)/(1-N101))^2</f>
        <v>4.8144337753391264</v>
      </c>
      <c r="AZ101" s="6">
        <f>L*G101^2/(2*Cout2*Vout2*Npri_sec2^2)*1000000000*((1+N101)/(1-N101))^2+G101*CoutEsr2</f>
        <v>12.768465108134139</v>
      </c>
      <c r="BA101" s="6">
        <f>(H101+I101)/Efficiency/J101*AT101/Vinripple1</f>
        <v>4.8334862926174935</v>
      </c>
      <c r="BB101" s="470">
        <f>((BZ101/J101/Efficiency)*AT101/Cin+(BZ101/J101/Efficiency)*RCinEsr)*1000</f>
        <v>329.76348264641769</v>
      </c>
      <c r="BC101" s="6"/>
      <c r="BD101" s="178">
        <f t="shared" si="135"/>
        <v>1.5560307688366344</v>
      </c>
      <c r="BE101" s="178">
        <f t="shared" si="112"/>
        <v>1.7838446063956928</v>
      </c>
      <c r="BF101" s="178">
        <f t="shared" si="113"/>
        <v>1.1149028789973077</v>
      </c>
      <c r="BG101" s="178"/>
      <c r="BH101" s="543">
        <f t="shared" si="114"/>
        <v>0.26633549289229602</v>
      </c>
      <c r="BI101" s="543">
        <f t="shared" si="115"/>
        <v>0.10729336555623714</v>
      </c>
      <c r="BJ101" s="543">
        <f t="shared" si="116"/>
        <v>1.01627625438065E-2</v>
      </c>
      <c r="BK101" s="543">
        <f t="shared" si="117"/>
        <v>3.0323460326412137E-2</v>
      </c>
      <c r="BL101">
        <f t="shared" si="118"/>
        <v>3.9150000000000001E-3</v>
      </c>
      <c r="BM101" s="470">
        <f t="shared" si="136"/>
        <v>418.0300813187518</v>
      </c>
      <c r="BN101" s="178">
        <f t="shared" si="119"/>
        <v>0.30720000000000003</v>
      </c>
      <c r="BO101" s="178">
        <f t="shared" si="120"/>
        <v>0.192</v>
      </c>
      <c r="BP101" s="543"/>
      <c r="BR101" s="470">
        <f t="shared" si="137"/>
        <v>499.20000000000005</v>
      </c>
      <c r="BS101" s="543">
        <f t="shared" si="121"/>
        <v>9.6849270142653113E-2</v>
      </c>
      <c r="BT101" s="543">
        <f t="shared" si="122"/>
        <v>0.12728406319068017</v>
      </c>
      <c r="BU101" s="543">
        <f t="shared" si="123"/>
        <v>3.7290252887894552E-2</v>
      </c>
      <c r="BV101" s="543">
        <f t="shared" si="124"/>
        <v>0</v>
      </c>
      <c r="BW101" s="648">
        <f t="shared" si="125"/>
        <v>0.12812702877104046</v>
      </c>
      <c r="BX101" s="470">
        <f t="shared" si="138"/>
        <v>389.55061499226827</v>
      </c>
      <c r="BY101" s="178">
        <f t="shared" si="139"/>
        <v>1.30678069631102</v>
      </c>
      <c r="BZ101" s="6">
        <f t="shared" si="140"/>
        <v>14.976000000000001</v>
      </c>
      <c r="CA101" s="178">
        <f t="shared" si="141"/>
        <v>0.91974462343479935</v>
      </c>
      <c r="CB101" s="6">
        <f t="shared" si="142"/>
        <v>91.974462343479928</v>
      </c>
      <c r="CC101">
        <f t="shared" si="143"/>
        <v>96</v>
      </c>
      <c r="CE101" s="577">
        <f t="shared" si="126"/>
        <v>-50</v>
      </c>
      <c r="CF101">
        <f t="shared" si="127"/>
        <v>-50</v>
      </c>
    </row>
    <row r="102" spans="5:84" x14ac:dyDescent="0.2">
      <c r="E102" s="175">
        <v>97</v>
      </c>
      <c r="F102" s="222">
        <f t="shared" si="144"/>
        <v>0.77600000000000002</v>
      </c>
      <c r="G102" s="222">
        <f t="shared" si="128"/>
        <v>0.48499999999999999</v>
      </c>
      <c r="H102" s="222">
        <f t="shared" si="86"/>
        <v>9.3120000000000012</v>
      </c>
      <c r="I102" s="222">
        <f t="shared" si="145"/>
        <v>5.82</v>
      </c>
      <c r="J102" s="556">
        <f t="shared" si="87"/>
        <v>13.5</v>
      </c>
      <c r="K102" s="452">
        <f t="shared" si="88"/>
        <v>10.168705681266987</v>
      </c>
      <c r="L102" s="452">
        <f t="shared" si="89"/>
        <v>25.75</v>
      </c>
      <c r="M102" s="452"/>
      <c r="N102" s="222">
        <f t="shared" si="90"/>
        <v>0.47572815533980584</v>
      </c>
      <c r="O102" s="177">
        <f t="shared" ref="O102:O105" si="150">N102*J102*Isw_max*0.5*Efficiency*Pout/(Pout+Pout2)</f>
        <v>7.6969156086631818</v>
      </c>
      <c r="P102" s="177">
        <f t="shared" si="91"/>
        <v>7.8171799150485421</v>
      </c>
      <c r="Q102" s="222">
        <f t="shared" si="92"/>
        <v>0.64140963405526519</v>
      </c>
      <c r="R102" s="222">
        <f t="shared" si="93"/>
        <v>0.64140963405526519</v>
      </c>
      <c r="S102" s="452">
        <f t="shared" si="94"/>
        <v>9.9187056812669869</v>
      </c>
      <c r="T102" s="222">
        <f t="shared" si="95"/>
        <v>4.0999999999999996</v>
      </c>
      <c r="U102" s="222">
        <f t="shared" si="96"/>
        <v>2.1259259259259258</v>
      </c>
      <c r="V102" s="222">
        <f t="shared" si="97"/>
        <v>2.8223847655333136</v>
      </c>
      <c r="W102" s="202">
        <f t="shared" si="98"/>
        <v>350</v>
      </c>
      <c r="X102" s="452">
        <f t="shared" si="130"/>
        <v>202.08916989104893</v>
      </c>
      <c r="Z102" s="222">
        <f t="shared" si="99"/>
        <v>2.3673302758665731</v>
      </c>
      <c r="AA102" s="178">
        <f t="shared" si="100"/>
        <v>1.6296382696564859</v>
      </c>
      <c r="AB102" s="178">
        <f t="shared" si="146"/>
        <v>0.67513110253200737</v>
      </c>
      <c r="AC102" s="178"/>
      <c r="AD102" s="178">
        <f t="shared" si="102"/>
        <v>0.56447695310666257</v>
      </c>
      <c r="AE102" s="560">
        <f t="shared" si="147"/>
        <v>3352.9853015480517</v>
      </c>
      <c r="AF102" s="543">
        <f t="shared" si="104"/>
        <v>8.100244277080608E-2</v>
      </c>
      <c r="AH102" s="178">
        <f t="shared" si="105"/>
        <v>3.5146341290701213</v>
      </c>
      <c r="AI102" s="178">
        <f t="shared" si="148"/>
        <v>4.0999999999999996</v>
      </c>
      <c r="AJ102" s="178">
        <f t="shared" si="149"/>
        <v>3.6296296296296298</v>
      </c>
      <c r="AL102" s="560">
        <f t="shared" si="108"/>
        <v>776</v>
      </c>
      <c r="AM102" s="470">
        <f t="shared" si="109"/>
        <v>202.08916989104893</v>
      </c>
      <c r="AO102" t="str">
        <f t="shared" si="131"/>
        <v/>
      </c>
      <c r="AP102" t="str">
        <f t="shared" si="110"/>
        <v/>
      </c>
      <c r="AR102" s="6">
        <f t="shared" si="132"/>
        <v>4.9483106914592394</v>
      </c>
      <c r="AS102" s="6">
        <f t="shared" si="111"/>
        <v>2.1259259259259258</v>
      </c>
      <c r="AT102" s="6">
        <f t="shared" si="133"/>
        <v>2.8223847655333136</v>
      </c>
      <c r="AU102" s="178">
        <f t="shared" si="134"/>
        <v>0.42962660562022992</v>
      </c>
      <c r="AW102" s="6">
        <f>L*Iout^2/(2*Vripple1_spec*Vout*Npri_sec1^2)*1000000000*((1+N102)/(1-N102))^2</f>
        <v>12.324950464868163</v>
      </c>
      <c r="AX102" s="6">
        <f>L*F102^2/(2*Cout*Vout*Nps^2)*1000000000*((1+N102)/(1-N102))^2+F102*RCoutEsr</f>
        <v>31.936202278453919</v>
      </c>
      <c r="AY102" s="6">
        <f>L*Iout2^2/(2*Vripple2_spec*Vout2*Npri_sec2^2)*1000000000*((1+N102)/(1-N102))^2</f>
        <v>4.8144337753391264</v>
      </c>
      <c r="AZ102" s="6">
        <f>L*G102^2/(2*Cout2*Vout2*Npri_sec2^2)*1000000000*((1+N102)/(1-N102))^2+G102*CoutEsr2</f>
        <v>13.020704015021064</v>
      </c>
      <c r="BA102" s="6">
        <f>(H102+I102)/Efficiency/J102*AT102/Vinripple1</f>
        <v>4.9334576590340165</v>
      </c>
      <c r="BB102" s="470">
        <f>((BZ102/J102/Efficiency)*AT102/Cin+(BZ102/J102/Efficiency)*RCinEsr)*1000</f>
        <v>336.54804110760318</v>
      </c>
      <c r="BC102" s="6"/>
      <c r="BD102" s="178">
        <f t="shared" si="135"/>
        <v>1.551560852870002</v>
      </c>
      <c r="BE102" s="178">
        <f t="shared" si="112"/>
        <v>1.7877338317475129</v>
      </c>
      <c r="BF102" s="178">
        <f t="shared" si="113"/>
        <v>1.1173336448421953</v>
      </c>
      <c r="BG102" s="178"/>
      <c r="BH102" s="543">
        <f t="shared" si="114"/>
        <v>0.26480751881745568</v>
      </c>
      <c r="BI102" s="543">
        <f t="shared" si="115"/>
        <v>0.10667782055623744</v>
      </c>
      <c r="BJ102" s="543">
        <f t="shared" si="116"/>
        <v>1.0104458494552446E-2</v>
      </c>
      <c r="BK102" s="543">
        <f t="shared" si="117"/>
        <v>3.0149493797448815E-2</v>
      </c>
      <c r="BL102">
        <f t="shared" si="118"/>
        <v>3.9150000000000001E-3</v>
      </c>
      <c r="BM102" s="470">
        <f t="shared" si="136"/>
        <v>415.65429166569436</v>
      </c>
      <c r="BN102" s="178">
        <f t="shared" si="119"/>
        <v>0.31040000000000001</v>
      </c>
      <c r="BO102" s="178">
        <f t="shared" si="120"/>
        <v>0.19400000000000001</v>
      </c>
      <c r="BP102" s="543"/>
      <c r="BR102" s="470">
        <f t="shared" si="137"/>
        <v>504.4</v>
      </c>
      <c r="BS102" s="543">
        <f t="shared" si="121"/>
        <v>9.6293643206347521E-2</v>
      </c>
      <c r="BT102" s="543">
        <f t="shared" si="122"/>
        <v>0.12783969012698579</v>
      </c>
      <c r="BU102" s="543">
        <f t="shared" si="123"/>
        <v>3.7453034216890349E-2</v>
      </c>
      <c r="BV102" s="543">
        <f t="shared" si="124"/>
        <v>0</v>
      </c>
      <c r="BW102" s="648">
        <f t="shared" si="125"/>
        <v>0.12739196047006998</v>
      </c>
      <c r="BX102" s="470">
        <f t="shared" si="138"/>
        <v>388.97832802029365</v>
      </c>
      <c r="BY102" s="178">
        <f t="shared" si="139"/>
        <v>1.3090326196859881</v>
      </c>
      <c r="BZ102" s="6">
        <f t="shared" si="140"/>
        <v>15.132000000000001</v>
      </c>
      <c r="CA102" s="178">
        <f t="shared" si="141"/>
        <v>0.92038014582377303</v>
      </c>
      <c r="CB102" s="6">
        <f t="shared" si="142"/>
        <v>92.038014582377301</v>
      </c>
      <c r="CC102">
        <f t="shared" si="143"/>
        <v>97</v>
      </c>
      <c r="CE102" s="577">
        <f t="shared" si="126"/>
        <v>-50</v>
      </c>
      <c r="CF102">
        <f t="shared" si="127"/>
        <v>-50</v>
      </c>
    </row>
    <row r="103" spans="5:84" x14ac:dyDescent="0.2">
      <c r="E103" s="175">
        <v>98</v>
      </c>
      <c r="F103" s="222">
        <f t="shared" si="144"/>
        <v>0.78400000000000003</v>
      </c>
      <c r="G103" s="222">
        <f t="shared" si="128"/>
        <v>0.49</v>
      </c>
      <c r="H103" s="222">
        <f t="shared" si="86"/>
        <v>9.4080000000000013</v>
      </c>
      <c r="I103" s="222">
        <f t="shared" si="145"/>
        <v>5.88</v>
      </c>
      <c r="J103" s="556">
        <f t="shared" si="87"/>
        <v>13.5</v>
      </c>
      <c r="K103" s="452">
        <f t="shared" si="88"/>
        <v>10.067494398805078</v>
      </c>
      <c r="L103" s="452">
        <f t="shared" si="89"/>
        <v>25.75</v>
      </c>
      <c r="M103" s="452"/>
      <c r="N103" s="222">
        <f t="shared" si="90"/>
        <v>0.47572815533980584</v>
      </c>
      <c r="O103" s="177">
        <f t="shared" si="150"/>
        <v>7.6969156086631818</v>
      </c>
      <c r="P103" s="177">
        <f t="shared" si="91"/>
        <v>7.8171799150485421</v>
      </c>
      <c r="Q103" s="222">
        <f t="shared" si="92"/>
        <v>0.64140963405526519</v>
      </c>
      <c r="R103" s="222">
        <f t="shared" si="93"/>
        <v>0.64140963405526519</v>
      </c>
      <c r="S103" s="452">
        <f t="shared" si="94"/>
        <v>9.8174943988050778</v>
      </c>
      <c r="T103" s="222">
        <f t="shared" si="95"/>
        <v>4.0999999999999996</v>
      </c>
      <c r="U103" s="222">
        <f t="shared" si="96"/>
        <v>2.1259259259259258</v>
      </c>
      <c r="V103" s="222">
        <f t="shared" si="97"/>
        <v>2.8507589736932388</v>
      </c>
      <c r="W103" s="202">
        <f t="shared" si="98"/>
        <v>350</v>
      </c>
      <c r="X103" s="452">
        <f t="shared" si="130"/>
        <v>200.9369731397951</v>
      </c>
      <c r="Z103" s="222">
        <f t="shared" si="99"/>
        <v>2.3538331139233137</v>
      </c>
      <c r="AA103" s="178">
        <f t="shared" si="100"/>
        <v>1.6366367980715093</v>
      </c>
      <c r="AB103" s="178">
        <f t="shared" si="146"/>
        <v>0.67416473088407503</v>
      </c>
      <c r="AC103" s="178"/>
      <c r="AD103" s="178">
        <f t="shared" si="102"/>
        <v>0.57015179473864774</v>
      </c>
      <c r="AE103" s="560">
        <f t="shared" si="147"/>
        <v>3353.8351358303662</v>
      </c>
      <c r="AF103" s="543">
        <f t="shared" si="104"/>
        <v>8.1816782544995942E-2</v>
      </c>
      <c r="AH103" s="178">
        <f t="shared" si="105"/>
        <v>3.5327043465311387</v>
      </c>
      <c r="AI103" s="178">
        <f t="shared" si="148"/>
        <v>4.0999999999999996</v>
      </c>
      <c r="AJ103" s="178">
        <f t="shared" si="149"/>
        <v>3.6296296296296298</v>
      </c>
      <c r="AL103" s="560">
        <f t="shared" si="108"/>
        <v>784</v>
      </c>
      <c r="AM103" s="470">
        <f t="shared" si="109"/>
        <v>200.9369731397951</v>
      </c>
      <c r="AO103" t="str">
        <f t="shared" si="131"/>
        <v/>
      </c>
      <c r="AP103" t="str">
        <f t="shared" si="110"/>
        <v/>
      </c>
      <c r="AR103" s="6">
        <f t="shared" si="132"/>
        <v>4.9766848996191655</v>
      </c>
      <c r="AS103" s="6">
        <f t="shared" si="111"/>
        <v>2.1259259259259258</v>
      </c>
      <c r="AT103" s="6">
        <f t="shared" si="133"/>
        <v>2.8507589736932397</v>
      </c>
      <c r="AU103" s="178">
        <f t="shared" si="134"/>
        <v>0.42717712067497171</v>
      </c>
      <c r="AW103" s="6">
        <f>L*Iout^2/(2*Vripple1_spec*Vout*Npri_sec1^2)*1000000000*((1+N103)/(1-N103))^2</f>
        <v>12.324950464868163</v>
      </c>
      <c r="AX103" s="6">
        <f>L*F103^2/(2*Cout*Vout*Nps^2)*1000000000*((1+N103)/(1-N103))^2+F103*RCoutEsr</f>
        <v>32.5738274718112</v>
      </c>
      <c r="AY103" s="6">
        <f>L*Iout2^2/(2*Vripple2_spec*Vout2*Npri_sec2^2)*1000000000*((1+N103)/(1-N103))^2</f>
        <v>4.8144337753391264</v>
      </c>
      <c r="AZ103" s="6">
        <f>L*G103^2/(2*Cout2*Vout2*Npri_sec2^2)*1000000000*((1+N103)/(1-N103))^2+G103*CoutEsr2</f>
        <v>13.275401356176245</v>
      </c>
      <c r="BA103" s="6">
        <f>(H103+I103)/Efficiency/J103*AT103/Vinripple1</f>
        <v>5.0344267636788391</v>
      </c>
      <c r="BB103" s="470">
        <f>((BZ103/J103/Efficiency)*AT103/Cin+(BZ103/J103/Efficiency)*RCinEsr)*1000</f>
        <v>343.39994689919871</v>
      </c>
      <c r="BC103" s="6"/>
      <c r="BD103" s="178">
        <f t="shared" si="135"/>
        <v>1.547131474541005</v>
      </c>
      <c r="BE103" s="178">
        <f t="shared" si="112"/>
        <v>1.791568456358257</v>
      </c>
      <c r="BF103" s="178">
        <f t="shared" si="113"/>
        <v>1.1197302852239104</v>
      </c>
      <c r="BG103" s="178"/>
      <c r="BH103" s="543">
        <f t="shared" si="114"/>
        <v>0.26329773794669664</v>
      </c>
      <c r="BI103" s="543">
        <f t="shared" si="115"/>
        <v>0.10606960469616933</v>
      </c>
      <c r="BJ103" s="543">
        <f t="shared" si="116"/>
        <v>1.0046848656989755E-2</v>
      </c>
      <c r="BK103" s="543">
        <f t="shared" si="117"/>
        <v>2.9977598644313711E-2</v>
      </c>
      <c r="BL103">
        <f t="shared" si="118"/>
        <v>3.9150000000000001E-3</v>
      </c>
      <c r="BM103" s="470">
        <f t="shared" si="136"/>
        <v>413.3067899441694</v>
      </c>
      <c r="BN103" s="178">
        <f t="shared" si="119"/>
        <v>0.31360000000000005</v>
      </c>
      <c r="BO103" s="178">
        <f t="shared" si="120"/>
        <v>0.19600000000000001</v>
      </c>
      <c r="BP103" s="543"/>
      <c r="BR103" s="470">
        <f t="shared" si="137"/>
        <v>509.60000000000008</v>
      </c>
      <c r="BS103" s="543">
        <f t="shared" si="121"/>
        <v>9.5744631980616973E-2</v>
      </c>
      <c r="BT103" s="543">
        <f t="shared" si="122"/>
        <v>0.12838870135271632</v>
      </c>
      <c r="BU103" s="543">
        <f t="shared" si="123"/>
        <v>3.7613877349428587E-2</v>
      </c>
      <c r="BV103" s="543">
        <f t="shared" si="124"/>
        <v>0</v>
      </c>
      <c r="BW103" s="648">
        <f t="shared" si="125"/>
        <v>0.12666564444299835</v>
      </c>
      <c r="BX103" s="470">
        <f t="shared" si="138"/>
        <v>388.41285512576019</v>
      </c>
      <c r="BY103" s="178">
        <f t="shared" si="139"/>
        <v>1.3113196450699296</v>
      </c>
      <c r="BZ103" s="6">
        <f t="shared" si="140"/>
        <v>15.288</v>
      </c>
      <c r="CA103" s="178">
        <f t="shared" si="141"/>
        <v>0.92100160289042954</v>
      </c>
      <c r="CB103" s="6">
        <f t="shared" si="142"/>
        <v>92.100160289042947</v>
      </c>
      <c r="CC103">
        <f t="shared" si="143"/>
        <v>98</v>
      </c>
      <c r="CE103" s="577">
        <f t="shared" si="126"/>
        <v>-50</v>
      </c>
      <c r="CF103">
        <f t="shared" si="127"/>
        <v>-50</v>
      </c>
    </row>
    <row r="104" spans="5:84" x14ac:dyDescent="0.2">
      <c r="E104" s="175">
        <v>99</v>
      </c>
      <c r="F104" s="222">
        <f t="shared" ref="F104:F105" si="151">IF(PLOT_TYPE=1, E104/100*Iout_max, min_I*EXP(O104*rr/100))</f>
        <v>0.79200000000000004</v>
      </c>
      <c r="G104" s="222">
        <f t="shared" si="128"/>
        <v>0.495</v>
      </c>
      <c r="H104" s="222">
        <f t="shared" si="86"/>
        <v>9.5040000000000013</v>
      </c>
      <c r="I104" s="222">
        <f t="shared" si="145"/>
        <v>5.9399999999999995</v>
      </c>
      <c r="J104" s="556">
        <f t="shared" si="87"/>
        <v>13.5</v>
      </c>
      <c r="K104" s="452">
        <f t="shared" si="88"/>
        <v>9.9683277887161381</v>
      </c>
      <c r="L104" s="452">
        <f t="shared" si="89"/>
        <v>25.75</v>
      </c>
      <c r="M104" s="452"/>
      <c r="N104" s="222">
        <f t="shared" si="90"/>
        <v>0.47572815533980584</v>
      </c>
      <c r="O104" s="177">
        <f t="shared" si="150"/>
        <v>7.6969156086631818</v>
      </c>
      <c r="P104" s="177">
        <f t="shared" si="91"/>
        <v>7.8171799150485421</v>
      </c>
      <c r="Q104" s="222">
        <f t="shared" si="92"/>
        <v>0.64140963405526519</v>
      </c>
      <c r="R104" s="222">
        <f t="shared" si="93"/>
        <v>0.64140963405526519</v>
      </c>
      <c r="S104" s="452">
        <f t="shared" si="94"/>
        <v>9.7183277887161381</v>
      </c>
      <c r="T104" s="222">
        <f t="shared" si="95"/>
        <v>4.0999999999999996</v>
      </c>
      <c r="U104" s="222">
        <f t="shared" si="96"/>
        <v>2.1259259259259258</v>
      </c>
      <c r="V104" s="222">
        <f t="shared" si="97"/>
        <v>2.879118805913222</v>
      </c>
      <c r="W104" s="202">
        <f t="shared" si="98"/>
        <v>350</v>
      </c>
      <c r="X104" s="452">
        <f t="shared" si="130"/>
        <v>199.79841411577982</v>
      </c>
      <c r="Z104" s="222">
        <f t="shared" si="99"/>
        <v>2.3404957082134201</v>
      </c>
      <c r="AA104" s="178">
        <f t="shared" si="100"/>
        <v>1.6435524899210836</v>
      </c>
      <c r="AB104" s="178">
        <f t="shared" si="146"/>
        <v>0.67317732105466088</v>
      </c>
      <c r="AC104" s="178"/>
      <c r="AD104" s="178">
        <f t="shared" si="102"/>
        <v>0.57582376118264444</v>
      </c>
      <c r="AE104" s="560">
        <f t="shared" si="147"/>
        <v>3354.6849701126807</v>
      </c>
      <c r="AF104" s="543">
        <f t="shared" si="104"/>
        <v>8.263070972970947E-2</v>
      </c>
      <c r="AH104" s="178">
        <f t="shared" si="105"/>
        <v>3.5506826018070821</v>
      </c>
      <c r="AI104" s="178">
        <f t="shared" si="148"/>
        <v>4.0999999999999996</v>
      </c>
      <c r="AJ104" s="178">
        <f t="shared" si="149"/>
        <v>3.6296296296296298</v>
      </c>
      <c r="AL104" s="560">
        <f t="shared" si="108"/>
        <v>792</v>
      </c>
      <c r="AM104" s="470">
        <f t="shared" si="109"/>
        <v>199.79841411577982</v>
      </c>
      <c r="AO104" t="str">
        <f t="shared" si="131"/>
        <v/>
      </c>
      <c r="AP104" t="str">
        <f t="shared" si="110"/>
        <v/>
      </c>
      <c r="AR104" s="6">
        <f t="shared" si="132"/>
        <v>5.0050447318391464</v>
      </c>
      <c r="AS104" s="6">
        <f t="shared" si="111"/>
        <v>2.1259259259259258</v>
      </c>
      <c r="AT104" s="6">
        <f t="shared" si="133"/>
        <v>2.8791188059132207</v>
      </c>
      <c r="AU104" s="178">
        <f t="shared" si="134"/>
        <v>0.42475662852762081</v>
      </c>
      <c r="AW104" s="6">
        <f>L*Iout^2/(2*Vripple1_spec*Vout*Npri_sec1^2)*1000000000*((1+N104)/(1-N104))^2</f>
        <v>12.324950464868163</v>
      </c>
      <c r="AX104" s="6">
        <f>L*F104^2/(2*Cout*Vout*Nps^2)*1000000000*((1+N104)/(1-N104))^2+F104*RCoutEsr</f>
        <v>33.217746256895197</v>
      </c>
      <c r="AY104" s="6">
        <f>L*Iout2^2/(2*Vripple2_spec*Vout2*Npri_sec2^2)*1000000000*((1+N104)/(1-N104))^2</f>
        <v>4.8144337753391264</v>
      </c>
      <c r="AZ104" s="6">
        <f>L*G104^2/(2*Cout2*Vout2*Npri_sec2^2)*1000000000*((1+N104)/(1-N104))^2+G104*CoutEsr2</f>
        <v>13.532557131599685</v>
      </c>
      <c r="BA104" s="6">
        <f>(H104+I104)/Efficiency/J104*AT104/Vinripple1</f>
        <v>5.136392848288069</v>
      </c>
      <c r="BB104" s="470">
        <f>((BZ104/J104/Efficiency)*AT104/Cin+(BZ104/J104/Efficiency)*RCinEsr)*1000</f>
        <v>350.31914883839204</v>
      </c>
      <c r="BC104" s="6"/>
      <c r="BD104" s="178">
        <f t="shared" si="135"/>
        <v>1.5427420313140825</v>
      </c>
      <c r="BE104" s="178">
        <f t="shared" si="112"/>
        <v>1.7953496478820585</v>
      </c>
      <c r="BF104" s="178">
        <f t="shared" si="113"/>
        <v>1.1220935299262864</v>
      </c>
      <c r="BG104" s="178"/>
      <c r="BH104" s="543">
        <f t="shared" si="114"/>
        <v>0.26180582727014118</v>
      </c>
      <c r="BI104" s="543">
        <f t="shared" si="115"/>
        <v>0.10546858785136726</v>
      </c>
      <c r="BJ104" s="543">
        <f t="shared" si="116"/>
        <v>9.9899207057889908E-3</v>
      </c>
      <c r="BK104" s="543">
        <f t="shared" si="117"/>
        <v>2.9807738090919952E-2</v>
      </c>
      <c r="BL104">
        <f t="shared" si="118"/>
        <v>3.9150000000000001E-3</v>
      </c>
      <c r="BM104" s="470">
        <f t="shared" si="136"/>
        <v>410.98707391821739</v>
      </c>
      <c r="BN104" s="178">
        <f t="shared" si="119"/>
        <v>0.31680000000000003</v>
      </c>
      <c r="BO104" s="178">
        <f t="shared" si="120"/>
        <v>0.19800000000000001</v>
      </c>
      <c r="BP104" s="543"/>
      <c r="BR104" s="470">
        <f t="shared" si="137"/>
        <v>514.80000000000007</v>
      </c>
      <c r="BS104" s="543">
        <f t="shared" si="121"/>
        <v>9.520211900732406E-2</v>
      </c>
      <c r="BT104" s="543">
        <f t="shared" si="122"/>
        <v>0.12893121432600926</v>
      </c>
      <c r="BU104" s="543">
        <f t="shared" si="123"/>
        <v>3.7772816697073011E-2</v>
      </c>
      <c r="BV104" s="543">
        <f t="shared" si="124"/>
        <v>0</v>
      </c>
      <c r="BW104" s="648">
        <f t="shared" si="125"/>
        <v>0.1259479252982347</v>
      </c>
      <c r="BX104" s="470">
        <f t="shared" si="138"/>
        <v>387.85407532864104</v>
      </c>
      <c r="BY104" s="178">
        <f t="shared" si="139"/>
        <v>1.3136411492468585</v>
      </c>
      <c r="BZ104" s="6">
        <f t="shared" si="140"/>
        <v>15.444000000000001</v>
      </c>
      <c r="CA104" s="178">
        <f t="shared" si="141"/>
        <v>0.92160942357296527</v>
      </c>
      <c r="CB104" s="6">
        <f t="shared" si="142"/>
        <v>92.160942357296534</v>
      </c>
      <c r="CC104">
        <f t="shared" si="143"/>
        <v>99</v>
      </c>
      <c r="CE104" s="577">
        <f t="shared" si="126"/>
        <v>-50</v>
      </c>
      <c r="CF104">
        <f t="shared" si="127"/>
        <v>-50</v>
      </c>
    </row>
    <row r="105" spans="5:84" x14ac:dyDescent="0.2">
      <c r="E105" s="175">
        <v>100</v>
      </c>
      <c r="F105" s="222">
        <f t="shared" si="151"/>
        <v>0.8</v>
      </c>
      <c r="G105" s="222">
        <f t="shared" si="128"/>
        <v>0.5</v>
      </c>
      <c r="H105" s="222">
        <f t="shared" si="86"/>
        <v>9.6000000000000014</v>
      </c>
      <c r="I105" s="222">
        <f t="shared" si="145"/>
        <v>6</v>
      </c>
      <c r="J105" s="556">
        <f t="shared" si="87"/>
        <v>13.5</v>
      </c>
      <c r="K105" s="452">
        <f t="shared" si="88"/>
        <v>9.8711445108289766</v>
      </c>
      <c r="L105" s="452">
        <f t="shared" si="89"/>
        <v>25.75</v>
      </c>
      <c r="M105" s="452"/>
      <c r="N105" s="222">
        <f t="shared" si="90"/>
        <v>0.47572815533980584</v>
      </c>
      <c r="O105" s="177">
        <f t="shared" si="150"/>
        <v>7.6969156086631818</v>
      </c>
      <c r="P105" s="177">
        <f t="shared" si="91"/>
        <v>7.8171799150485421</v>
      </c>
      <c r="Q105" s="222">
        <f t="shared" si="92"/>
        <v>0.64140963405526519</v>
      </c>
      <c r="R105" s="222">
        <f t="shared" si="93"/>
        <v>0.64140963405526519</v>
      </c>
      <c r="S105" s="452">
        <f t="shared" si="94"/>
        <v>9.6211445108289766</v>
      </c>
      <c r="T105" s="222">
        <f t="shared" si="95"/>
        <v>4.0999999999999996</v>
      </c>
      <c r="U105" s="222">
        <f t="shared" si="96"/>
        <v>2.1259259259259258</v>
      </c>
      <c r="V105" s="222">
        <f t="shared" si="97"/>
        <v>2.9074642731159628</v>
      </c>
      <c r="W105" s="202">
        <f t="shared" si="98"/>
        <v>350</v>
      </c>
      <c r="X105" s="452">
        <f t="shared" si="130"/>
        <v>198.67325211352602</v>
      </c>
      <c r="Z105" s="222">
        <f t="shared" si="99"/>
        <v>2.3273152390441614</v>
      </c>
      <c r="AA105" s="178">
        <f t="shared" si="100"/>
        <v>1.6503868072681065</v>
      </c>
      <c r="AB105" s="178">
        <f t="shared" si="146"/>
        <v>0.67216981420268818</v>
      </c>
      <c r="AC105" s="178"/>
      <c r="AD105" s="178">
        <f t="shared" si="102"/>
        <v>0.58149285462319256</v>
      </c>
      <c r="AE105" s="560">
        <f t="shared" si="147"/>
        <v>3355.5348043949957</v>
      </c>
      <c r="AF105" s="543">
        <f t="shared" si="104"/>
        <v>8.3444224638428127E-2</v>
      </c>
      <c r="AH105" s="178">
        <f t="shared" si="105"/>
        <v>3.5685702847990846</v>
      </c>
      <c r="AI105" s="178">
        <f t="shared" si="148"/>
        <v>4.0999999999999996</v>
      </c>
      <c r="AJ105" s="178">
        <f t="shared" si="149"/>
        <v>3.6296296296296298</v>
      </c>
      <c r="AL105" s="560">
        <f t="shared" si="108"/>
        <v>800</v>
      </c>
      <c r="AM105" s="470">
        <f t="shared" si="109"/>
        <v>198.67325211352602</v>
      </c>
      <c r="AO105" t="str">
        <f t="shared" si="131"/>
        <v/>
      </c>
      <c r="AP105" s="4" t="str">
        <f t="shared" si="110"/>
        <v/>
      </c>
      <c r="AR105" s="6">
        <f t="shared" si="132"/>
        <v>5.0333901990418886</v>
      </c>
      <c r="AS105" s="6">
        <f t="shared" si="111"/>
        <v>2.1259259259259258</v>
      </c>
      <c r="AT105" s="6">
        <f t="shared" si="133"/>
        <v>2.9074642731159628</v>
      </c>
      <c r="AU105" s="178">
        <f t="shared" si="134"/>
        <v>0.42236461745616266</v>
      </c>
      <c r="AW105" s="6">
        <f>L*Iout^2/(2*Vripple1_spec*Vout*Npri_sec1^2)*1000000000*((1+N105)/(1-N105))^2</f>
        <v>12.324950464868163</v>
      </c>
      <c r="AX105" s="6">
        <f>L*F105^2/(2*Cout*Vout*Nps^2)*1000000000*((1+N105)/(1-N105))^2+F105*RCoutEsr</f>
        <v>33.867958633705953</v>
      </c>
      <c r="AY105" s="6">
        <f>L*Iout2^2/(2*Vripple2_spec*Vout2*Npri_sec2^2)*1000000000*((1+N105)/(1-N105))^2</f>
        <v>4.8144337753391264</v>
      </c>
      <c r="AZ105" s="6">
        <f>L*G105^2/(2*Cout2*Vout2*Npri_sec2^2)*1000000000*((1+N105)/(1-N105))^2+G105*CoutEsr2</f>
        <v>13.792171341291384</v>
      </c>
      <c r="BA105" s="6">
        <f>(H105+I105)/Efficiency/J105*AT105/Vinripple1</f>
        <v>5.2393551553659981</v>
      </c>
      <c r="BB105" s="470">
        <f>((BZ105/J105/Efficiency)*AT105/Cin+(BZ105/J105/Efficiency)*RCinEsr)*1000</f>
        <v>355.33802207104463</v>
      </c>
      <c r="BC105" s="6"/>
      <c r="BD105" s="178">
        <f t="shared" si="135"/>
        <v>1.5383919330953013</v>
      </c>
      <c r="BE105" s="178">
        <f t="shared" si="112"/>
        <v>1.7990785401200904</v>
      </c>
      <c r="BF105" s="178">
        <f t="shared" si="113"/>
        <v>1.1244240875750562</v>
      </c>
      <c r="BG105" s="178"/>
      <c r="BH105" s="543">
        <f t="shared" si="114"/>
        <v>0.26033147137939677</v>
      </c>
      <c r="BI105" s="543">
        <f t="shared" si="115"/>
        <v>0.10487464295942754</v>
      </c>
      <c r="BJ105" s="543">
        <f t="shared" si="116"/>
        <v>9.9336626056763001E-3</v>
      </c>
      <c r="BK105" s="543">
        <f t="shared" si="117"/>
        <v>2.9639876226643089E-2</v>
      </c>
      <c r="BL105">
        <f t="shared" si="118"/>
        <v>3.9150000000000001E-3</v>
      </c>
      <c r="BM105" s="470">
        <f t="shared" si="136"/>
        <v>408.69465317114373</v>
      </c>
      <c r="BN105" s="178">
        <f t="shared" si="119"/>
        <v>0.32000000000000006</v>
      </c>
      <c r="BO105" s="178">
        <f t="shared" si="120"/>
        <v>0.2</v>
      </c>
      <c r="BP105" s="543"/>
      <c r="BR105" s="470">
        <f t="shared" si="137"/>
        <v>520</v>
      </c>
      <c r="BS105" s="543">
        <f t="shared" si="121"/>
        <v>9.4665989592507924E-2</v>
      </c>
      <c r="BT105" s="543">
        <f t="shared" si="122"/>
        <v>0.12946734374082541</v>
      </c>
      <c r="BU105" s="543">
        <f t="shared" si="123"/>
        <v>3.792988586156993E-2</v>
      </c>
      <c r="BV105" s="543">
        <f t="shared" si="124"/>
        <v>0</v>
      </c>
      <c r="BW105" s="648">
        <f t="shared" si="125"/>
        <v>0.12523865130106399</v>
      </c>
      <c r="BX105" s="470">
        <f t="shared" si="138"/>
        <v>387.30187049596725</v>
      </c>
      <c r="BY105" s="178">
        <f t="shared" si="139"/>
        <v>1.315996523667111</v>
      </c>
      <c r="BZ105" s="6">
        <f t="shared" si="140"/>
        <v>15.514095523711724</v>
      </c>
      <c r="CA105" s="178">
        <f t="shared" si="141"/>
        <v>0.92180693248958989</v>
      </c>
      <c r="CB105" s="6">
        <f t="shared" si="142"/>
        <v>92.180693248958988</v>
      </c>
      <c r="CC105">
        <f t="shared" si="143"/>
        <v>100</v>
      </c>
      <c r="CE105" s="577">
        <f t="shared" si="126"/>
        <v>-50</v>
      </c>
      <c r="CF105">
        <f t="shared" si="127"/>
        <v>-50</v>
      </c>
    </row>
    <row r="106" spans="5:84" x14ac:dyDescent="0.2">
      <c r="E106" s="175"/>
      <c r="F106" s="222"/>
      <c r="G106" s="222"/>
      <c r="H106" s="222"/>
      <c r="I106" s="222"/>
      <c r="J106" s="556"/>
      <c r="K106" s="452"/>
      <c r="L106" s="452"/>
      <c r="M106" s="452"/>
      <c r="N106" s="222"/>
      <c r="O106" s="177"/>
      <c r="P106" s="177"/>
      <c r="Q106" s="222"/>
      <c r="R106" s="222"/>
      <c r="S106" s="222"/>
      <c r="T106" s="222"/>
      <c r="U106" s="222"/>
      <c r="V106" s="222"/>
      <c r="W106" s="202"/>
      <c r="X106" s="452"/>
      <c r="Z106" s="222"/>
      <c r="AA106" s="178"/>
      <c r="AB106" s="178"/>
      <c r="AC106" s="178"/>
      <c r="AD106" s="178"/>
      <c r="AE106" s="560"/>
      <c r="AF106" s="543"/>
      <c r="AH106" s="178"/>
      <c r="AI106" s="178"/>
      <c r="AJ106" s="178"/>
      <c r="AL106" s="560"/>
      <c r="AM106" s="470"/>
      <c r="AP106" s="4"/>
      <c r="AR106" s="6"/>
      <c r="AS106" s="6"/>
      <c r="AT106" s="6"/>
      <c r="AU106" s="178"/>
      <c r="AW106" s="6"/>
      <c r="AX106" s="6"/>
      <c r="AY106" s="6"/>
      <c r="AZ106" s="6"/>
      <c r="BA106" s="6"/>
      <c r="BB106" s="6"/>
      <c r="BC106" s="6"/>
      <c r="BD106" s="178"/>
      <c r="BE106" s="178"/>
      <c r="BF106" s="178"/>
      <c r="BG106" s="178"/>
      <c r="BH106" s="543"/>
      <c r="BI106" s="543"/>
      <c r="BJ106" s="543"/>
      <c r="BK106" s="543"/>
      <c r="BM106" s="470"/>
      <c r="BN106" s="178"/>
      <c r="BO106" s="178"/>
      <c r="BP106" s="543"/>
      <c r="BR106" s="470"/>
      <c r="BS106" s="543"/>
      <c r="BT106" s="543"/>
      <c r="BU106" s="543"/>
      <c r="BV106" s="543"/>
      <c r="BW106" s="648"/>
      <c r="BX106" s="470"/>
      <c r="BY106" s="178"/>
      <c r="BZ106" s="6"/>
      <c r="CA106" s="178"/>
      <c r="CB106" s="6"/>
    </row>
    <row r="107" spans="5:84" x14ac:dyDescent="0.2">
      <c r="G107" s="222"/>
      <c r="H107" s="222"/>
      <c r="I107" s="222"/>
      <c r="J107" s="556"/>
      <c r="K107" s="452"/>
      <c r="L107" s="452"/>
      <c r="M107" s="452"/>
      <c r="N107" s="222"/>
      <c r="O107" s="177"/>
      <c r="P107" s="177"/>
      <c r="Q107" s="222"/>
      <c r="R107" s="222"/>
      <c r="S107" s="222"/>
      <c r="T107" s="222"/>
      <c r="U107" s="222"/>
      <c r="V107" s="222"/>
      <c r="W107" s="202"/>
      <c r="X107" s="452"/>
      <c r="Z107" s="222"/>
      <c r="AA107" s="178"/>
      <c r="AB107" s="178"/>
      <c r="AC107" s="178"/>
      <c r="AD107" s="178"/>
      <c r="AE107" s="560"/>
      <c r="AF107" s="543"/>
      <c r="AH107" s="178"/>
      <c r="AI107" s="178"/>
      <c r="AJ107" s="178"/>
      <c r="AL107" s="560"/>
      <c r="AM107" s="470"/>
      <c r="AR107" s="6"/>
      <c r="AS107" s="6"/>
      <c r="AT107" s="6"/>
      <c r="AU107" s="178"/>
      <c r="AW107" s="6"/>
      <c r="AX107" s="6"/>
      <c r="AY107" s="6"/>
      <c r="AZ107" s="6"/>
      <c r="BA107" s="6"/>
      <c r="BB107" s="6"/>
      <c r="BC107" s="6"/>
      <c r="BD107" s="178"/>
      <c r="BE107" s="178"/>
      <c r="BF107" s="178"/>
      <c r="BG107" s="178"/>
      <c r="BH107" s="543"/>
      <c r="BI107" s="543"/>
      <c r="BJ107" s="543"/>
      <c r="BK107" s="543"/>
      <c r="BM107" s="470"/>
      <c r="BN107" s="178"/>
      <c r="BO107" s="178"/>
      <c r="BP107" s="543"/>
      <c r="BR107" s="470"/>
      <c r="BS107" s="543"/>
      <c r="BT107" s="543"/>
      <c r="BU107" s="543"/>
      <c r="BV107" s="543"/>
      <c r="BW107" s="648"/>
      <c r="BX107" s="470"/>
      <c r="BY107" s="178"/>
      <c r="BZ107" s="6"/>
      <c r="CA107" s="178"/>
      <c r="CB107" s="6"/>
    </row>
    <row r="108" spans="5:84" x14ac:dyDescent="0.2">
      <c r="E108" s="454" t="s">
        <v>445</v>
      </c>
      <c r="G108" s="222"/>
      <c r="H108" s="222"/>
      <c r="I108" s="222"/>
      <c r="J108" s="556"/>
      <c r="K108" s="452"/>
      <c r="L108" s="452"/>
      <c r="M108" s="452"/>
      <c r="N108" s="222"/>
      <c r="O108" s="177"/>
      <c r="P108" s="177"/>
      <c r="Q108" s="222"/>
      <c r="R108" s="222"/>
      <c r="S108" s="222"/>
      <c r="T108" s="222"/>
      <c r="U108" s="222"/>
      <c r="V108" s="222"/>
      <c r="W108" s="202"/>
      <c r="X108" s="452"/>
      <c r="Z108" s="222"/>
      <c r="AA108" s="178"/>
      <c r="AB108" s="178"/>
      <c r="AC108" s="178"/>
      <c r="AD108" s="178"/>
      <c r="AE108" s="560"/>
      <c r="AF108" s="543"/>
      <c r="AH108" s="178"/>
      <c r="AI108" s="178"/>
      <c r="AJ108" s="178"/>
      <c r="AL108" s="560"/>
      <c r="AM108" s="470"/>
      <c r="AR108" s="6"/>
      <c r="AS108" s="6"/>
      <c r="AT108" s="6"/>
      <c r="AU108" s="178"/>
      <c r="AW108" s="6"/>
      <c r="AX108" s="6"/>
      <c r="AY108" s="6"/>
      <c r="AZ108" s="6"/>
      <c r="BA108" s="6"/>
      <c r="BB108" s="6"/>
      <c r="BC108" s="548"/>
      <c r="BD108" s="573" t="s">
        <v>482</v>
      </c>
      <c r="BE108" s="548"/>
      <c r="BF108" s="548"/>
      <c r="BG108" s="548"/>
      <c r="BH108" s="573" t="s">
        <v>505</v>
      </c>
      <c r="BI108" s="548"/>
      <c r="BJ108" s="548"/>
      <c r="BK108" s="548"/>
      <c r="BL108" s="548"/>
      <c r="BM108" s="548"/>
      <c r="BN108" s="573" t="s">
        <v>501</v>
      </c>
      <c r="BO108" s="548"/>
      <c r="BP108" s="548"/>
      <c r="BQ108" s="548"/>
      <c r="BR108" s="548"/>
      <c r="BS108" s="574" t="s">
        <v>502</v>
      </c>
      <c r="BT108" s="548"/>
      <c r="BU108" s="548"/>
      <c r="BV108" s="548"/>
      <c r="BW108" s="548"/>
      <c r="BX108" s="548"/>
      <c r="BY108" s="573"/>
      <c r="BZ108" s="548"/>
      <c r="CA108" s="548"/>
      <c r="CB108" s="548"/>
      <c r="CC108" s="548"/>
    </row>
    <row r="109" spans="5:84" ht="45" customHeight="1" thickBot="1" x14ac:dyDescent="0.25">
      <c r="E109" s="246" t="s">
        <v>25</v>
      </c>
      <c r="F109" s="620" t="s">
        <v>597</v>
      </c>
      <c r="G109" s="453" t="s">
        <v>596</v>
      </c>
      <c r="H109" s="621" t="s">
        <v>598</v>
      </c>
      <c r="I109" s="622" t="s">
        <v>599</v>
      </c>
      <c r="J109" s="247" t="s">
        <v>423</v>
      </c>
      <c r="K109" s="248" t="s">
        <v>429</v>
      </c>
      <c r="L109" s="542" t="s">
        <v>424</v>
      </c>
      <c r="M109" s="542"/>
      <c r="N109" s="249" t="s">
        <v>48</v>
      </c>
      <c r="O109" s="624" t="s">
        <v>607</v>
      </c>
      <c r="P109" s="624" t="s">
        <v>622</v>
      </c>
      <c r="Q109" s="542" t="s">
        <v>414</v>
      </c>
      <c r="R109" s="624" t="s">
        <v>601</v>
      </c>
      <c r="S109" s="542" t="s">
        <v>444</v>
      </c>
      <c r="T109" s="624" t="s">
        <v>425</v>
      </c>
      <c r="U109" s="542" t="s">
        <v>477</v>
      </c>
      <c r="V109" s="542" t="s">
        <v>476</v>
      </c>
      <c r="W109" s="561" t="s">
        <v>431</v>
      </c>
      <c r="X109" s="557" t="s">
        <v>436</v>
      </c>
      <c r="Z109" s="250" t="s">
        <v>428</v>
      </c>
      <c r="AA109" s="250" t="s">
        <v>475</v>
      </c>
      <c r="AB109" s="250" t="s">
        <v>604</v>
      </c>
      <c r="AC109" s="559"/>
      <c r="AD109" s="250" t="s">
        <v>474</v>
      </c>
      <c r="AE109" s="625" t="s">
        <v>437</v>
      </c>
      <c r="AF109" s="250" t="s">
        <v>605</v>
      </c>
      <c r="AG109" s="559"/>
      <c r="AH109" s="178"/>
      <c r="AI109" s="562" t="s">
        <v>441</v>
      </c>
      <c r="AJ109" s="562" t="s">
        <v>442</v>
      </c>
      <c r="AL109" s="558" t="s">
        <v>276</v>
      </c>
      <c r="AM109" s="558" t="s">
        <v>443</v>
      </c>
      <c r="AO109" s="250" t="s">
        <v>276</v>
      </c>
      <c r="AP109" s="250" t="s">
        <v>443</v>
      </c>
      <c r="AQ109" s="563"/>
      <c r="AR109" s="250" t="s">
        <v>478</v>
      </c>
      <c r="AS109" s="250" t="s">
        <v>472</v>
      </c>
      <c r="AT109" s="250" t="s">
        <v>473</v>
      </c>
      <c r="AU109" s="250" t="s">
        <v>48</v>
      </c>
      <c r="AV109" s="559"/>
      <c r="AW109" s="250" t="s">
        <v>608</v>
      </c>
      <c r="AX109" s="250" t="s">
        <v>721</v>
      </c>
      <c r="AY109" s="250" t="s">
        <v>609</v>
      </c>
      <c r="AZ109" s="250" t="s">
        <v>722</v>
      </c>
      <c r="BA109" s="250" t="s">
        <v>527</v>
      </c>
      <c r="BB109" s="250"/>
      <c r="BC109" s="559"/>
      <c r="BD109" s="572" t="s">
        <v>467</v>
      </c>
      <c r="BE109" s="250" t="s">
        <v>616</v>
      </c>
      <c r="BF109" s="250" t="s">
        <v>615</v>
      </c>
      <c r="BG109" s="559"/>
      <c r="BH109" s="572" t="s">
        <v>485</v>
      </c>
      <c r="BI109" s="250" t="s">
        <v>486</v>
      </c>
      <c r="BJ109" s="250" t="s">
        <v>484</v>
      </c>
      <c r="BK109" s="250" t="s">
        <v>480</v>
      </c>
      <c r="BL109" s="250" t="s">
        <v>489</v>
      </c>
      <c r="BM109" s="250" t="s">
        <v>503</v>
      </c>
      <c r="BN109" s="572" t="s">
        <v>618</v>
      </c>
      <c r="BO109" s="250" t="s">
        <v>617</v>
      </c>
      <c r="BP109" s="250" t="s">
        <v>488</v>
      </c>
      <c r="BQ109" s="250" t="s">
        <v>495</v>
      </c>
      <c r="BR109" s="250" t="s">
        <v>499</v>
      </c>
      <c r="BS109" s="572" t="s">
        <v>469</v>
      </c>
      <c r="BT109" s="250" t="s">
        <v>620</v>
      </c>
      <c r="BU109" s="250" t="s">
        <v>619</v>
      </c>
      <c r="BV109" s="250" t="s">
        <v>479</v>
      </c>
      <c r="BW109" s="250" t="s">
        <v>496</v>
      </c>
      <c r="BX109" s="250" t="s">
        <v>498</v>
      </c>
      <c r="BY109" s="572" t="s">
        <v>494</v>
      </c>
      <c r="BZ109" s="250" t="s">
        <v>224</v>
      </c>
      <c r="CA109" s="250" t="s">
        <v>47</v>
      </c>
      <c r="CB109" s="250" t="s">
        <v>497</v>
      </c>
      <c r="CC109" s="250" t="s">
        <v>621</v>
      </c>
      <c r="CE109" s="585" t="s">
        <v>510</v>
      </c>
    </row>
    <row r="110" spans="5:84" x14ac:dyDescent="0.2">
      <c r="E110" s="175">
        <v>0.1</v>
      </c>
      <c r="F110" s="222">
        <v>1.0000000000000001E-9</v>
      </c>
      <c r="G110" s="222">
        <f t="shared" ref="G110:G141" si="152">IF(PLOT_TYPE=1, E110/100*Iout2, min_I*EXP(Q110*rr/100))</f>
        <v>5.0000000000000001E-4</v>
      </c>
      <c r="H110" s="222">
        <f t="shared" ref="H110:H141" si="153">F110*Vout</f>
        <v>1.2000000000000002E-8</v>
      </c>
      <c r="I110" s="222">
        <f t="shared" ref="I110:I141" si="154">Vout2*G110</f>
        <v>6.0000000000000001E-3</v>
      </c>
      <c r="J110" s="556">
        <f t="shared" ref="J110:J173" si="155">VIN_min</f>
        <v>9</v>
      </c>
      <c r="K110" s="452">
        <f t="shared" ref="K110:K173" si="156">(S110+Vfwd1)*Nps</f>
        <v>12.25</v>
      </c>
      <c r="L110" s="452">
        <f t="shared" ref="L110:L173" si="157">(Vout+Vfwd1)*Nps+J110</f>
        <v>21.25</v>
      </c>
      <c r="M110" s="452"/>
      <c r="N110" s="222">
        <f t="shared" ref="N110:N173" si="158">(Vout+Vfwd1)*Nps/((Vout+Vfwd1)*Nps+J110)</f>
        <v>0.57647058823529407</v>
      </c>
      <c r="O110" s="177">
        <f t="shared" ref="O110:O141" si="159">N110*J110*Isw_max*0.5*Efficiency*Pout/(Pout+Pout2)</f>
        <v>6.2179004524886858</v>
      </c>
      <c r="P110" s="177">
        <f t="shared" ref="P110:P141" si="160">N110*J110*Isw_max*0.5*Efficiency*(Pout2/Pout_total)</f>
        <v>6.3150551470588203</v>
      </c>
      <c r="Q110" s="222">
        <f t="shared" ref="Q110:Q173" si="161">O110/Vout</f>
        <v>0.51815837104072382</v>
      </c>
      <c r="R110" s="222">
        <f t="shared" ref="R110:R141" si="162">O110/Vout2</f>
        <v>0.51815837104072382</v>
      </c>
      <c r="S110" s="222">
        <f t="shared" ref="S110:S141" si="163">MIN(Vout,O110/F110)</f>
        <v>12</v>
      </c>
      <c r="T110" s="222">
        <f t="shared" ref="T110:T141" si="164">MIN(2*(Vout*F110+Vout2*G110)/(Efficiency*J110*N110), Isw_max)</f>
        <v>2.4346629430719662E-3</v>
      </c>
      <c r="U110" s="222">
        <f t="shared" ref="U110:U173" si="165">L*T110/J110*1000000</f>
        <v>1.8936267335004182E-3</v>
      </c>
      <c r="V110" s="222">
        <f t="shared" ref="V110:V173" si="166">L*T110/K110*1000000</f>
        <v>1.3912359674696948E-3</v>
      </c>
      <c r="W110" s="202">
        <f t="shared" ref="W110:W173" si="167">IF(1/((350000*L)*(1/J110+1/K110))&gt;Isw_min, 350, 0.001/((Isw_min*L)*(1/J110+1/K110)))</f>
        <v>350</v>
      </c>
      <c r="X110" s="452">
        <f t="shared" ref="X110:X173" si="168">MIN(1/(U110+V110)*1000, 350)</f>
        <v>350</v>
      </c>
      <c r="Z110" s="222">
        <f t="shared" ref="Z110:Z173" si="169">1/((W110*1000*L)*(1/J110+1/K110))</f>
        <v>2.1176470588235294</v>
      </c>
      <c r="AA110" s="178">
        <f t="shared" ref="AA110:AA173" si="170">L*Z110/K110*1000000</f>
        <v>1.2100840336134453</v>
      </c>
      <c r="AB110" s="178">
        <f t="shared" ref="AB110:AB141" si="171">0.5*AA110*Z110*Nps*W110/1000*(Pout/(Pout+Pout2))</f>
        <v>0.27596486558424271</v>
      </c>
      <c r="AC110" s="178"/>
      <c r="AD110" s="178">
        <f t="shared" ref="AD110:AD173" si="172">L*Isw_min/K110*1000000</f>
        <v>0.46857142857142853</v>
      </c>
      <c r="AE110" s="560">
        <f t="shared" ref="AE110:AE141" si="173">MAX(10, F110/(0.5*AD110/1000000*Isw_min*Nps)/1000*Pout_total/Pout)</f>
        <v>10</v>
      </c>
      <c r="AF110" s="543">
        <f t="shared" ref="AF110:AF141" si="174">0.5*AD110/1000000*Isw_min*Nps*W110*1000*(Pout/Pout_total)</f>
        <v>6.723999999999998E-2</v>
      </c>
      <c r="AH110" s="178">
        <f t="shared" ref="AH110:AH141" si="175">SQRT((H110+I110)/(0.5*L*Fsw_DCM))</f>
        <v>6.9985491207762748E-2</v>
      </c>
      <c r="AI110" s="178">
        <f t="shared" ref="AI110:AI141" si="176">MAX(IF(F110&gt;AB110,T110,AH110),Isw_min)</f>
        <v>0.82</v>
      </c>
      <c r="AJ110" s="178">
        <f t="shared" ref="AJ110:AJ141" si="177">IF(F110&gt;AF110, (AI110-Isw_min)/1.08*0.8+1.2, AE110*0.2/350+1)</f>
        <v>1.0057142857142858</v>
      </c>
      <c r="AL110" s="560">
        <f t="shared" ref="AL110:AL141" si="178">F110*1000</f>
        <v>1.0000000000000002E-6</v>
      </c>
      <c r="AM110" s="470">
        <f t="shared" ref="AM110:AM141" si="179">IF(F110&gt;AF110, X110, AE110)</f>
        <v>10</v>
      </c>
      <c r="AO110" s="470">
        <f t="shared" ref="AO110:AO173" si="180">IF(H110&gt;O110, "",AL110)</f>
        <v>1.0000000000000002E-6</v>
      </c>
      <c r="AP110" s="470">
        <f t="shared" ref="AP110:AP173" si="181">IF(H110&gt;O110, "",AM110)</f>
        <v>10</v>
      </c>
      <c r="AR110" s="6">
        <f t="shared" si="132"/>
        <v>100</v>
      </c>
      <c r="AS110" s="6">
        <f t="shared" ref="AS110:AS114" si="182">L*AI110/J110*1000000</f>
        <v>0.63777777777777767</v>
      </c>
      <c r="AT110" s="6">
        <f t="shared" ref="AT110:AT114" si="183">AR110-AS110</f>
        <v>99.362222222222229</v>
      </c>
      <c r="AU110" s="178">
        <f t="shared" ref="AU110:AU114" si="184">AS110/AR110</f>
        <v>6.3777777777777765E-3</v>
      </c>
      <c r="AW110" s="6">
        <f>L*Iout^2/(2*Vripple1_spec*Vout*Npri_sec1^2)*1000000000*((1+N110)/(1-N110))^2</f>
        <v>21.552126200274348</v>
      </c>
      <c r="AX110" s="6">
        <f>L*F110^2/(2*Cout*Vout*Nps^2)*1000000000*((1+N110)/(1-N110))^2+F110*RCoutEsr</f>
        <v>3.0000000859792274E-9</v>
      </c>
      <c r="AY110" s="6">
        <f>L*Iout2^2/(2*Vout_ripple2*Vout2*Npri_sec2^2)*1000000000*((1+N110)/(1-N110))^2</f>
        <v>8.4187992969821668</v>
      </c>
      <c r="AZ110" s="6">
        <f>L*G110^2/(2*Cout2*Vout2*Npri_sec2^2)*1000000000*((1+N110)/(1-N110))^2+G110*CoutEsr2</f>
        <v>1.5214948067156992E-3</v>
      </c>
      <c r="BA110" s="6">
        <f>(H110+I110)/Efficiency/J110*AT110/Vinripple1</f>
        <v>0.10330076251765216</v>
      </c>
      <c r="BB110" s="6"/>
      <c r="BC110" s="6"/>
      <c r="BD110" s="178">
        <f t="shared" ref="BD110:BD169" si="185">AI110*SQRT(AU110/3)</f>
        <v>3.7808366700937929E-2</v>
      </c>
      <c r="BE110" s="178">
        <f t="shared" ref="BE110:BE169" si="186">AI110*Npri_sec1*SQRT((1-AU110)/3)*(Pout/Pout_total)</f>
        <v>0.47191509908111723</v>
      </c>
      <c r="BF110" s="178">
        <f t="shared" ref="BF110:BF169" si="187">AI110*Npri_sec2*SQRT((1-AU110)/3)*(Pout2/Pout_total)</f>
        <v>0.29494693692569823</v>
      </c>
      <c r="BG110" s="178"/>
      <c r="BH110" s="543">
        <f t="shared" ref="BH110:BH169" si="188">Rdson*BD110^2</f>
        <v>1.5724198518518511E-4</v>
      </c>
      <c r="BI110" s="543">
        <f t="shared" ref="BI110:BI169" si="189">0.5*L110*AI110*AM110*1000*Trise</f>
        <v>8.7125000000000006E-4</v>
      </c>
      <c r="BJ110" s="543">
        <f t="shared" ref="BJ110:BJ169" si="190">Qg*Vdd*AM110*1000</f>
        <v>5.0000000000000001E-4</v>
      </c>
      <c r="BK110" s="543">
        <f t="shared" ref="BK110:BK169" si="191">0.5*(Coss+Csw)*L110^2*AM110*1000</f>
        <v>1.016015625E-3</v>
      </c>
      <c r="BL110">
        <f t="shared" ref="BL110:BL169" si="192">J110*IQ</f>
        <v>2.6099999999999999E-3</v>
      </c>
      <c r="BM110" s="470">
        <f t="shared" ref="BM110:BM169" si="193">SUM(BH110:BL110)*1000</f>
        <v>5.1545076101851848</v>
      </c>
      <c r="BN110" s="178">
        <f t="shared" ref="BN110:BN169" si="194">Vfwd2*F110</f>
        <v>4.0000000000000007E-10</v>
      </c>
      <c r="BO110" s="178">
        <f t="shared" ref="BO110:BO169" si="195">Vfwd2*G110</f>
        <v>2.0000000000000001E-4</v>
      </c>
      <c r="BP110" s="543"/>
      <c r="BR110" s="470">
        <f t="shared" ref="BR110:BR169" si="196">SUM(BN110:BQ110)*1000</f>
        <v>0.20000040000000002</v>
      </c>
      <c r="BS110" s="543">
        <f t="shared" ref="BS110:BS169" si="197">Rdcr_pri*BD110^2</f>
        <v>5.7178903703703681E-5</v>
      </c>
      <c r="BT110" s="543">
        <f t="shared" ref="BT110:BT169" si="198">Rdcr_sec*BE110^2</f>
        <v>8.9081544296296285E-3</v>
      </c>
      <c r="BU110" s="543">
        <f t="shared" ref="BU110:BU169" si="199">Rdcr_sec2*BF110^2</f>
        <v>2.6098108680555543E-3</v>
      </c>
      <c r="BV110" s="543">
        <f t="shared" ref="BV110:BV169" si="200">AI110^2.5*AM110^2.5*k_core</f>
        <v>0</v>
      </c>
      <c r="BW110" s="648">
        <f t="shared" ref="BW110:BW141" si="201">0.5*Lleak*0.000000001*AI110^2*AM110*1000</f>
        <v>2.5214999999999998E-4</v>
      </c>
      <c r="BX110" s="470">
        <f t="shared" ref="BX110:BX169" si="202">SUM(BS110:BW110)*1000</f>
        <v>11.827294201388886</v>
      </c>
      <c r="BY110" s="178">
        <f t="shared" ref="BY110:BY169" si="203">SUM(BH110:BL110,BN110:BQ110,BS110:BW110)</f>
        <v>1.718180221157407E-2</v>
      </c>
      <c r="BZ110" s="6">
        <f t="shared" ref="BZ110:BZ169" si="204">MIN(H110+I110,O110+P110)</f>
        <v>6.0000119999999999E-3</v>
      </c>
      <c r="CA110" s="178">
        <f t="shared" ref="CA110:CA169" si="205">BZ110/(BZ110+BY110)</f>
        <v>0.25882409138644341</v>
      </c>
      <c r="CB110" s="6">
        <f t="shared" ref="CB110:CB169" si="206">CA110*100</f>
        <v>25.882409138644341</v>
      </c>
      <c r="CC110">
        <f t="shared" ref="CC110:CC169" si="207">F110/Iout*100</f>
        <v>1.2499999999999999E-7</v>
      </c>
      <c r="CE110" s="577">
        <f t="shared" ref="CE110:CE141" si="208">IF(ABS(F110-Ioutmax_Vinmin)&lt;Iout/200, AM110, -50)</f>
        <v>-50</v>
      </c>
      <c r="CF110">
        <f t="shared" ref="CF110:CF141" si="209">IF(ABS(F110-Ioutmax_Vinmin)&lt;Iout/200, (O110+P110)*CA110, -50)</f>
        <v>-50</v>
      </c>
    </row>
    <row r="111" spans="5:84" x14ac:dyDescent="0.2">
      <c r="E111" s="175">
        <v>1</v>
      </c>
      <c r="F111" s="222">
        <f t="shared" ref="F111:F142" si="210">IF(PLOT_TYPE=1, E111/100*Iout_max, min_I*EXP(O111*rr/100))</f>
        <v>8.0000000000000002E-3</v>
      </c>
      <c r="G111" s="222">
        <f t="shared" si="152"/>
        <v>5.0000000000000001E-3</v>
      </c>
      <c r="H111" s="222">
        <f t="shared" si="153"/>
        <v>9.6000000000000002E-2</v>
      </c>
      <c r="I111" s="222">
        <f t="shared" si="154"/>
        <v>0.06</v>
      </c>
      <c r="J111" s="556">
        <f t="shared" si="155"/>
        <v>9</v>
      </c>
      <c r="K111" s="452">
        <f t="shared" si="156"/>
        <v>12.25</v>
      </c>
      <c r="L111" s="452">
        <f t="shared" si="157"/>
        <v>21.25</v>
      </c>
      <c r="M111" s="452"/>
      <c r="N111" s="222">
        <f t="shared" si="158"/>
        <v>0.57647058823529407</v>
      </c>
      <c r="O111" s="177">
        <f t="shared" si="159"/>
        <v>6.2179004524886858</v>
      </c>
      <c r="P111" s="177">
        <f t="shared" si="160"/>
        <v>6.3150551470588203</v>
      </c>
      <c r="Q111" s="222">
        <f t="shared" si="161"/>
        <v>0.51815837104072382</v>
      </c>
      <c r="R111" s="222">
        <f t="shared" si="162"/>
        <v>0.51815837104072382</v>
      </c>
      <c r="S111" s="222">
        <f t="shared" si="163"/>
        <v>12</v>
      </c>
      <c r="T111" s="222">
        <f t="shared" si="164"/>
        <v>6.3301109917651283E-2</v>
      </c>
      <c r="U111" s="222">
        <f t="shared" si="165"/>
        <v>4.9234196602617665E-2</v>
      </c>
      <c r="V111" s="222">
        <f t="shared" si="166"/>
        <v>3.6172062810086447E-2</v>
      </c>
      <c r="W111" s="202">
        <f t="shared" si="167"/>
        <v>350</v>
      </c>
      <c r="X111" s="452">
        <f t="shared" si="168"/>
        <v>350</v>
      </c>
      <c r="Z111" s="222">
        <f t="shared" si="169"/>
        <v>2.1176470588235294</v>
      </c>
      <c r="AA111" s="178">
        <f t="shared" si="170"/>
        <v>1.2100840336134453</v>
      </c>
      <c r="AB111" s="178">
        <f t="shared" si="171"/>
        <v>0.27596486558424271</v>
      </c>
      <c r="AC111" s="178"/>
      <c r="AD111" s="178">
        <f t="shared" si="172"/>
        <v>0.46857142857142853</v>
      </c>
      <c r="AE111" s="560">
        <f t="shared" si="173"/>
        <v>41.64187983343249</v>
      </c>
      <c r="AF111" s="543">
        <f t="shared" si="174"/>
        <v>6.723999999999998E-2</v>
      </c>
      <c r="AH111" s="178">
        <f t="shared" si="175"/>
        <v>0.35685702847990847</v>
      </c>
      <c r="AI111" s="178">
        <f t="shared" si="176"/>
        <v>0.82</v>
      </c>
      <c r="AJ111" s="178">
        <f t="shared" si="177"/>
        <v>1.0237953599048186</v>
      </c>
      <c r="AL111" s="560">
        <f t="shared" si="178"/>
        <v>8</v>
      </c>
      <c r="AM111" s="470">
        <f t="shared" si="179"/>
        <v>41.64187983343249</v>
      </c>
      <c r="AO111" s="470">
        <f t="shared" si="180"/>
        <v>8</v>
      </c>
      <c r="AP111" s="470">
        <f t="shared" si="181"/>
        <v>41.64187983343249</v>
      </c>
      <c r="AR111" s="6">
        <f t="shared" si="132"/>
        <v>24.014285714285709</v>
      </c>
      <c r="AS111" s="6">
        <f t="shared" si="182"/>
        <v>0.63777777777777767</v>
      </c>
      <c r="AT111" s="6">
        <f t="shared" si="183"/>
        <v>23.376507936507931</v>
      </c>
      <c r="AU111" s="178">
        <f t="shared" si="184"/>
        <v>2.6558265582655827E-2</v>
      </c>
      <c r="AW111" s="6">
        <f>L*Iout^2/(2*Vripple1_spec*Vout*Npri_sec1^2)*1000000000*((1+N111)/(1-N111))^2</f>
        <v>21.552126200274348</v>
      </c>
      <c r="AX111" s="6">
        <f>L*F111^2/(2*Cout*Vout*Nps^2)*1000000000*((1+N111)/(1-N111))^2+F111*RCoutEsr</f>
        <v>2.9502670519218982E-2</v>
      </c>
      <c r="AY111" s="6">
        <f>L*Iout2^2/(2*Vout_ripple2*Vout2*Npri_sec2^2)*1000000000*((1+N111)/(1-N111))^2</f>
        <v>8.4187992969821668</v>
      </c>
      <c r="AZ111" s="6">
        <f>L*G111^2/(2*Cout2*Vout2*Npri_sec2^2)*1000000000*((1+N111)/(1-N111))^2+G111*CoutEsr2</f>
        <v>1.7149480671569916E-2</v>
      </c>
      <c r="BA111" s="6">
        <f>(H111+I111)/Efficiency/J111*AT111/Vinripple1</f>
        <v>0.6318796167373163</v>
      </c>
      <c r="BB111" s="6"/>
      <c r="BC111" s="6"/>
      <c r="BD111" s="178">
        <f t="shared" si="185"/>
        <v>7.7153046554187296E-2</v>
      </c>
      <c r="BE111" s="178">
        <f t="shared" si="186"/>
        <v>0.4670982131637208</v>
      </c>
      <c r="BF111" s="178">
        <f t="shared" si="187"/>
        <v>0.29193638322732546</v>
      </c>
      <c r="BG111" s="178"/>
      <c r="BH111" s="543">
        <f t="shared" si="188"/>
        <v>6.5478518518518507E-4</v>
      </c>
      <c r="BI111" s="543">
        <f t="shared" si="189"/>
        <v>3.6280487804878059E-3</v>
      </c>
      <c r="BJ111" s="543">
        <f t="shared" si="190"/>
        <v>2.0820939916716247E-3</v>
      </c>
      <c r="BK111" s="543">
        <f t="shared" si="191"/>
        <v>4.2308800565139804E-3</v>
      </c>
      <c r="BL111">
        <f t="shared" si="192"/>
        <v>2.6099999999999999E-3</v>
      </c>
      <c r="BM111" s="470">
        <f t="shared" si="193"/>
        <v>13.205808013858595</v>
      </c>
      <c r="BN111" s="178">
        <f t="shared" si="194"/>
        <v>3.2000000000000002E-3</v>
      </c>
      <c r="BO111" s="178">
        <f t="shared" si="195"/>
        <v>2E-3</v>
      </c>
      <c r="BP111" s="543"/>
      <c r="BR111" s="470">
        <f t="shared" si="196"/>
        <v>5.2</v>
      </c>
      <c r="BS111" s="543">
        <f t="shared" si="197"/>
        <v>2.3810370370370369E-4</v>
      </c>
      <c r="BT111" s="543">
        <f t="shared" si="198"/>
        <v>8.727229629629631E-3</v>
      </c>
      <c r="BU111" s="543">
        <f t="shared" si="199"/>
        <v>2.5568055555555548E-3</v>
      </c>
      <c r="BV111" s="543">
        <f t="shared" si="200"/>
        <v>0</v>
      </c>
      <c r="BW111" s="648">
        <f t="shared" si="201"/>
        <v>1.0500000000000002E-3</v>
      </c>
      <c r="BX111" s="470">
        <f t="shared" si="202"/>
        <v>12.57213888888889</v>
      </c>
      <c r="BY111" s="178">
        <f t="shared" si="203"/>
        <v>3.0977946902747484E-2</v>
      </c>
      <c r="BZ111" s="6">
        <f t="shared" si="204"/>
        <v>0.156</v>
      </c>
      <c r="CA111" s="178">
        <f t="shared" si="205"/>
        <v>0.83432299147631561</v>
      </c>
      <c r="CB111" s="6">
        <f t="shared" si="206"/>
        <v>83.432299147631568</v>
      </c>
      <c r="CC111">
        <f t="shared" si="207"/>
        <v>1</v>
      </c>
      <c r="CE111" s="577">
        <f t="shared" si="208"/>
        <v>-50</v>
      </c>
      <c r="CF111">
        <f t="shared" si="209"/>
        <v>-50</v>
      </c>
    </row>
    <row r="112" spans="5:84" x14ac:dyDescent="0.2">
      <c r="E112" s="175">
        <v>2</v>
      </c>
      <c r="F112" s="222">
        <f t="shared" si="210"/>
        <v>1.6E-2</v>
      </c>
      <c r="G112" s="222">
        <f t="shared" si="152"/>
        <v>0.01</v>
      </c>
      <c r="H112" s="222">
        <f t="shared" si="153"/>
        <v>0.192</v>
      </c>
      <c r="I112" s="222">
        <f t="shared" si="154"/>
        <v>0.12</v>
      </c>
      <c r="J112" s="556">
        <f t="shared" si="155"/>
        <v>9</v>
      </c>
      <c r="K112" s="452">
        <f t="shared" si="156"/>
        <v>12.25</v>
      </c>
      <c r="L112" s="452">
        <f t="shared" si="157"/>
        <v>21.25</v>
      </c>
      <c r="M112" s="452"/>
      <c r="N112" s="222">
        <f t="shared" si="158"/>
        <v>0.57647058823529407</v>
      </c>
      <c r="O112" s="177">
        <f t="shared" si="159"/>
        <v>6.2179004524886858</v>
      </c>
      <c r="P112" s="177">
        <f t="shared" si="160"/>
        <v>6.3150551470588203</v>
      </c>
      <c r="Q112" s="222">
        <f t="shared" si="161"/>
        <v>0.51815837104072382</v>
      </c>
      <c r="R112" s="222">
        <f t="shared" si="162"/>
        <v>0.51815837104072382</v>
      </c>
      <c r="S112" s="222">
        <f t="shared" si="163"/>
        <v>12</v>
      </c>
      <c r="T112" s="222">
        <f t="shared" si="164"/>
        <v>0.12660221983530257</v>
      </c>
      <c r="U112" s="222">
        <f t="shared" si="165"/>
        <v>9.846839320523533E-2</v>
      </c>
      <c r="V112" s="222">
        <f t="shared" si="166"/>
        <v>7.2344125620172894E-2</v>
      </c>
      <c r="W112" s="202">
        <f t="shared" si="167"/>
        <v>350</v>
      </c>
      <c r="X112" s="452">
        <f t="shared" si="168"/>
        <v>350</v>
      </c>
      <c r="Z112" s="222">
        <f t="shared" si="169"/>
        <v>2.1176470588235294</v>
      </c>
      <c r="AA112" s="178">
        <f t="shared" si="170"/>
        <v>1.2100840336134453</v>
      </c>
      <c r="AB112" s="178">
        <f t="shared" si="171"/>
        <v>0.27596486558424271</v>
      </c>
      <c r="AC112" s="178"/>
      <c r="AD112" s="178">
        <f t="shared" si="172"/>
        <v>0.46857142857142853</v>
      </c>
      <c r="AE112" s="560">
        <f t="shared" si="173"/>
        <v>83.283759666864981</v>
      </c>
      <c r="AF112" s="543">
        <f t="shared" si="174"/>
        <v>6.723999999999998E-2</v>
      </c>
      <c r="AH112" s="178">
        <f t="shared" si="175"/>
        <v>0.50467204950444844</v>
      </c>
      <c r="AI112" s="178">
        <f t="shared" si="176"/>
        <v>0.82</v>
      </c>
      <c r="AJ112" s="178">
        <f t="shared" si="177"/>
        <v>1.0475907198096372</v>
      </c>
      <c r="AL112" s="560">
        <f t="shared" si="178"/>
        <v>16</v>
      </c>
      <c r="AM112" s="470">
        <f t="shared" si="179"/>
        <v>83.283759666864981</v>
      </c>
      <c r="AO112" s="470">
        <f t="shared" si="180"/>
        <v>16</v>
      </c>
      <c r="AP112" s="470">
        <f t="shared" si="181"/>
        <v>83.283759666864981</v>
      </c>
      <c r="AR112" s="6">
        <f t="shared" si="132"/>
        <v>12.007142857142854</v>
      </c>
      <c r="AS112" s="6">
        <f t="shared" si="182"/>
        <v>0.63777777777777767</v>
      </c>
      <c r="AT112" s="6">
        <f t="shared" si="183"/>
        <v>11.369365079365076</v>
      </c>
      <c r="AU112" s="178">
        <f t="shared" si="184"/>
        <v>5.3116531165311655E-2</v>
      </c>
      <c r="AW112" s="6">
        <f>L*Iout^2/(2*Vripple1_spec*Vout*Npri_sec1^2)*1000000000*((1+N112)/(1-N112))^2</f>
        <v>21.552126200274348</v>
      </c>
      <c r="AX112" s="6">
        <f>L*F112^2/(2*Cout*Vout*Nps^2)*1000000000*((1+N112)/(1-N112))^2+F112*RCoutEsr</f>
        <v>7.0010682076875927E-2</v>
      </c>
      <c r="AY112" s="6">
        <f>L*Iout2^2/(2*Vout_ripple2*Vout2*Npri_sec2^2)*1000000000*((1+N112)/(1-N112))^2</f>
        <v>8.4187992969821668</v>
      </c>
      <c r="AZ112" s="6">
        <f>L*G112^2/(2*Cout2*Vout2*Npri_sec2^2)*1000000000*((1+N112)/(1-N112))^2+G112*CoutEsr2</f>
        <v>3.8597922686279658E-2</v>
      </c>
      <c r="BA112" s="6">
        <f>(H112+I112)/Efficiency/J112*AT112/Vinripple1</f>
        <v>0.61464013944325813</v>
      </c>
      <c r="BB112" s="6"/>
      <c r="BC112" s="6"/>
      <c r="BD112" s="178">
        <f t="shared" si="185"/>
        <v>0.10911088481533446</v>
      </c>
      <c r="BE112" s="178">
        <f t="shared" si="186"/>
        <v>0.46068226376554605</v>
      </c>
      <c r="BF112" s="178">
        <f t="shared" si="187"/>
        <v>0.28792641485346621</v>
      </c>
      <c r="BG112" s="178"/>
      <c r="BH112" s="543">
        <f t="shared" si="188"/>
        <v>1.3095703703703701E-3</v>
      </c>
      <c r="BI112" s="543">
        <f t="shared" si="189"/>
        <v>7.2560975609756119E-3</v>
      </c>
      <c r="BJ112" s="543">
        <f t="shared" si="190"/>
        <v>4.1641879833432495E-3</v>
      </c>
      <c r="BK112" s="543">
        <f t="shared" si="191"/>
        <v>8.4617601130279607E-3</v>
      </c>
      <c r="BL112">
        <f t="shared" si="192"/>
        <v>2.6099999999999999E-3</v>
      </c>
      <c r="BM112" s="470">
        <f t="shared" si="193"/>
        <v>23.801616027717195</v>
      </c>
      <c r="BN112" s="178">
        <f t="shared" si="194"/>
        <v>6.4000000000000003E-3</v>
      </c>
      <c r="BO112" s="178">
        <f t="shared" si="195"/>
        <v>4.0000000000000001E-3</v>
      </c>
      <c r="BP112" s="543"/>
      <c r="BR112" s="470">
        <f t="shared" si="196"/>
        <v>10.4</v>
      </c>
      <c r="BS112" s="543">
        <f t="shared" si="197"/>
        <v>4.7620740740740737E-4</v>
      </c>
      <c r="BT112" s="543">
        <f t="shared" si="198"/>
        <v>8.4891259259259264E-3</v>
      </c>
      <c r="BU112" s="543">
        <f t="shared" si="199"/>
        <v>2.4870486111111096E-3</v>
      </c>
      <c r="BV112" s="543">
        <f t="shared" si="200"/>
        <v>0</v>
      </c>
      <c r="BW112" s="648">
        <f t="shared" si="201"/>
        <v>2.1000000000000003E-3</v>
      </c>
      <c r="BX112" s="470">
        <f t="shared" si="202"/>
        <v>13.552381944444445</v>
      </c>
      <c r="BY112" s="178">
        <f t="shared" si="203"/>
        <v>4.7753997972161635E-2</v>
      </c>
      <c r="BZ112" s="6">
        <f t="shared" si="204"/>
        <v>0.312</v>
      </c>
      <c r="CA112" s="178">
        <f t="shared" si="205"/>
        <v>0.86725929873930985</v>
      </c>
      <c r="CB112" s="6">
        <f t="shared" si="206"/>
        <v>86.72592987393098</v>
      </c>
      <c r="CC112">
        <f t="shared" si="207"/>
        <v>2</v>
      </c>
      <c r="CE112" s="577">
        <f t="shared" si="208"/>
        <v>-50</v>
      </c>
      <c r="CF112">
        <f t="shared" si="209"/>
        <v>-50</v>
      </c>
    </row>
    <row r="113" spans="5:84" x14ac:dyDescent="0.2">
      <c r="E113" s="175">
        <v>3</v>
      </c>
      <c r="F113" s="222">
        <f t="shared" si="210"/>
        <v>2.4E-2</v>
      </c>
      <c r="G113" s="222">
        <f t="shared" si="152"/>
        <v>1.4999999999999999E-2</v>
      </c>
      <c r="H113" s="222">
        <f t="shared" si="153"/>
        <v>0.28800000000000003</v>
      </c>
      <c r="I113" s="222">
        <f t="shared" si="154"/>
        <v>0.18</v>
      </c>
      <c r="J113" s="556">
        <f t="shared" si="155"/>
        <v>9</v>
      </c>
      <c r="K113" s="452">
        <f t="shared" si="156"/>
        <v>12.25</v>
      </c>
      <c r="L113" s="452">
        <f t="shared" si="157"/>
        <v>21.25</v>
      </c>
      <c r="M113" s="452"/>
      <c r="N113" s="222">
        <f t="shared" si="158"/>
        <v>0.57647058823529407</v>
      </c>
      <c r="O113" s="177">
        <f t="shared" si="159"/>
        <v>6.2179004524886858</v>
      </c>
      <c r="P113" s="177">
        <f t="shared" si="160"/>
        <v>6.3150551470588203</v>
      </c>
      <c r="Q113" s="222">
        <f t="shared" si="161"/>
        <v>0.51815837104072382</v>
      </c>
      <c r="R113" s="222">
        <f t="shared" si="162"/>
        <v>0.51815837104072382</v>
      </c>
      <c r="S113" s="222">
        <f t="shared" si="163"/>
        <v>12</v>
      </c>
      <c r="T113" s="222">
        <f t="shared" si="164"/>
        <v>0.18990332975295388</v>
      </c>
      <c r="U113" s="222">
        <f t="shared" si="165"/>
        <v>0.147702589807853</v>
      </c>
      <c r="V113" s="222">
        <f t="shared" si="166"/>
        <v>0.10851618843025936</v>
      </c>
      <c r="W113" s="202">
        <f t="shared" si="167"/>
        <v>350</v>
      </c>
      <c r="X113" s="452">
        <f t="shared" si="168"/>
        <v>350</v>
      </c>
      <c r="Z113" s="222">
        <f t="shared" si="169"/>
        <v>2.1176470588235294</v>
      </c>
      <c r="AA113" s="178">
        <f t="shared" si="170"/>
        <v>1.2100840336134453</v>
      </c>
      <c r="AB113" s="178">
        <f t="shared" si="171"/>
        <v>0.27596486558424271</v>
      </c>
      <c r="AC113" s="178"/>
      <c r="AD113" s="178">
        <f t="shared" si="172"/>
        <v>0.46857142857142853</v>
      </c>
      <c r="AE113" s="560">
        <f t="shared" si="173"/>
        <v>124.92563950029748</v>
      </c>
      <c r="AF113" s="543">
        <f t="shared" si="174"/>
        <v>6.723999999999998E-2</v>
      </c>
      <c r="AH113" s="178">
        <f t="shared" si="175"/>
        <v>0.61809450436525526</v>
      </c>
      <c r="AI113" s="178">
        <f t="shared" si="176"/>
        <v>0.82</v>
      </c>
      <c r="AJ113" s="178">
        <f t="shared" si="177"/>
        <v>1.0713860797144557</v>
      </c>
      <c r="AL113" s="560">
        <f t="shared" si="178"/>
        <v>24</v>
      </c>
      <c r="AM113" s="470">
        <f t="shared" si="179"/>
        <v>124.92563950029748</v>
      </c>
      <c r="AO113" s="470">
        <f t="shared" si="180"/>
        <v>24</v>
      </c>
      <c r="AP113" s="470">
        <f t="shared" si="181"/>
        <v>124.92563950029748</v>
      </c>
      <c r="AR113" s="6">
        <f t="shared" si="132"/>
        <v>8.0047619047619012</v>
      </c>
      <c r="AS113" s="6">
        <f t="shared" si="182"/>
        <v>0.63777777777777767</v>
      </c>
      <c r="AT113" s="6">
        <f t="shared" si="183"/>
        <v>7.3669841269841232</v>
      </c>
      <c r="AU113" s="178">
        <f t="shared" si="184"/>
        <v>7.96747967479675E-2</v>
      </c>
      <c r="AW113" s="6">
        <f>L*Iout^2/(2*Vripple1_spec*Vout*Npri_sec1^2)*1000000000*((1+N113)/(1-N113))^2</f>
        <v>21.552126200274348</v>
      </c>
      <c r="AX113" s="6">
        <f>L*F113^2/(2*Cout*Vout*Nps^2)*1000000000*((1+N113)/(1-N113))^2+F113*RCoutEsr</f>
        <v>0.12152403467297085</v>
      </c>
      <c r="AY113" s="6">
        <f>L*Iout2^2/(2*Vout_ripple2*Vout2*Npri_sec2^2)*1000000000*((1+N113)/(1-N113))^2</f>
        <v>8.4187992969821668</v>
      </c>
      <c r="AZ113" s="6">
        <f>L*G113^2/(2*Cout2*Vout2*Npri_sec2^2)*1000000000*((1+N113)/(1-N113))^2+G113*CoutEsr2</f>
        <v>6.4345326044129236E-2</v>
      </c>
      <c r="BA113" s="6">
        <f>(H113+I113)/Efficiency/J113*AT113/Vinripple1</f>
        <v>0.59740066214919996</v>
      </c>
      <c r="BB113" s="6"/>
      <c r="BC113" s="6"/>
      <c r="BD113" s="178">
        <f t="shared" si="185"/>
        <v>0.13363299659057931</v>
      </c>
      <c r="BE113" s="178">
        <f t="shared" si="186"/>
        <v>0.45417568798379715</v>
      </c>
      <c r="BF113" s="178">
        <f t="shared" si="187"/>
        <v>0.28385980498987318</v>
      </c>
      <c r="BG113" s="178"/>
      <c r="BH113" s="543">
        <f t="shared" si="188"/>
        <v>1.9643555555555561E-3</v>
      </c>
      <c r="BI113" s="543">
        <f t="shared" si="189"/>
        <v>1.0884146341463419E-2</v>
      </c>
      <c r="BJ113" s="543">
        <f t="shared" si="190"/>
        <v>6.2462819750148729E-3</v>
      </c>
      <c r="BK113" s="543">
        <f t="shared" si="191"/>
        <v>1.2692640169541943E-2</v>
      </c>
      <c r="BL113">
        <f t="shared" si="192"/>
        <v>2.6099999999999999E-3</v>
      </c>
      <c r="BM113" s="470">
        <f t="shared" si="193"/>
        <v>34.397424041575796</v>
      </c>
      <c r="BN113" s="178">
        <f t="shared" si="194"/>
        <v>9.6000000000000009E-3</v>
      </c>
      <c r="BO113" s="178">
        <f t="shared" si="195"/>
        <v>6.0000000000000001E-3</v>
      </c>
      <c r="BP113" s="543"/>
      <c r="BR113" s="470">
        <f t="shared" si="196"/>
        <v>15.600000000000001</v>
      </c>
      <c r="BS113" s="543">
        <f t="shared" si="197"/>
        <v>7.1431111111111122E-4</v>
      </c>
      <c r="BT113" s="543">
        <f t="shared" si="198"/>
        <v>8.2510222222222183E-3</v>
      </c>
      <c r="BU113" s="543">
        <f t="shared" si="199"/>
        <v>2.4172916666666644E-3</v>
      </c>
      <c r="BV113" s="543">
        <f t="shared" si="200"/>
        <v>0</v>
      </c>
      <c r="BW113" s="648">
        <f t="shared" si="201"/>
        <v>3.1500000000000009E-3</v>
      </c>
      <c r="BX113" s="470">
        <f t="shared" si="202"/>
        <v>14.532624999999994</v>
      </c>
      <c r="BY113" s="178">
        <f t="shared" si="203"/>
        <v>6.4530049041575777E-2</v>
      </c>
      <c r="BZ113" s="6">
        <f t="shared" si="204"/>
        <v>0.46800000000000003</v>
      </c>
      <c r="CA113" s="178">
        <f t="shared" si="205"/>
        <v>0.87882364730832718</v>
      </c>
      <c r="CB113" s="6">
        <f t="shared" si="206"/>
        <v>87.88236473083272</v>
      </c>
      <c r="CC113">
        <f t="shared" si="207"/>
        <v>3</v>
      </c>
      <c r="CE113" s="577">
        <f t="shared" si="208"/>
        <v>-50</v>
      </c>
      <c r="CF113">
        <f t="shared" si="209"/>
        <v>-50</v>
      </c>
    </row>
    <row r="114" spans="5:84" x14ac:dyDescent="0.2">
      <c r="E114" s="175">
        <v>4</v>
      </c>
      <c r="F114" s="222">
        <f t="shared" si="210"/>
        <v>3.2000000000000001E-2</v>
      </c>
      <c r="G114" s="222">
        <f t="shared" si="152"/>
        <v>0.02</v>
      </c>
      <c r="H114" s="222">
        <f t="shared" si="153"/>
        <v>0.38400000000000001</v>
      </c>
      <c r="I114" s="222">
        <f t="shared" si="154"/>
        <v>0.24</v>
      </c>
      <c r="J114" s="556">
        <f t="shared" si="155"/>
        <v>9</v>
      </c>
      <c r="K114" s="452">
        <f t="shared" si="156"/>
        <v>12.25</v>
      </c>
      <c r="L114" s="452">
        <f t="shared" si="157"/>
        <v>21.25</v>
      </c>
      <c r="M114" s="452"/>
      <c r="N114" s="222">
        <f t="shared" si="158"/>
        <v>0.57647058823529407</v>
      </c>
      <c r="O114" s="177">
        <f t="shared" si="159"/>
        <v>6.2179004524886858</v>
      </c>
      <c r="P114" s="177">
        <f t="shared" si="160"/>
        <v>6.3150551470588203</v>
      </c>
      <c r="Q114" s="222">
        <f t="shared" si="161"/>
        <v>0.51815837104072382</v>
      </c>
      <c r="R114" s="222">
        <f t="shared" si="162"/>
        <v>0.51815837104072382</v>
      </c>
      <c r="S114" s="222">
        <f t="shared" si="163"/>
        <v>12</v>
      </c>
      <c r="T114" s="222">
        <f t="shared" si="164"/>
        <v>0.25320443967060513</v>
      </c>
      <c r="U114" s="222">
        <f t="shared" si="165"/>
        <v>0.19693678641047066</v>
      </c>
      <c r="V114" s="222">
        <f t="shared" si="166"/>
        <v>0.14468825124034579</v>
      </c>
      <c r="W114" s="202">
        <f t="shared" si="167"/>
        <v>350</v>
      </c>
      <c r="X114" s="452">
        <f t="shared" si="168"/>
        <v>350</v>
      </c>
      <c r="Z114" s="222">
        <f t="shared" si="169"/>
        <v>2.1176470588235294</v>
      </c>
      <c r="AA114" s="178">
        <f t="shared" si="170"/>
        <v>1.2100840336134453</v>
      </c>
      <c r="AB114" s="178">
        <f t="shared" si="171"/>
        <v>0.27596486558424271</v>
      </c>
      <c r="AC114" s="178"/>
      <c r="AD114" s="178">
        <f t="shared" si="172"/>
        <v>0.46857142857142853</v>
      </c>
      <c r="AE114" s="560">
        <f t="shared" si="173"/>
        <v>166.56751933372996</v>
      </c>
      <c r="AF114" s="543">
        <f t="shared" si="174"/>
        <v>6.723999999999998E-2</v>
      </c>
      <c r="AH114" s="178">
        <f t="shared" si="175"/>
        <v>0.71371405695981693</v>
      </c>
      <c r="AI114" s="178">
        <f t="shared" si="176"/>
        <v>0.82</v>
      </c>
      <c r="AJ114" s="178">
        <f t="shared" si="177"/>
        <v>1.0951814396192743</v>
      </c>
      <c r="AL114" s="560">
        <f t="shared" si="178"/>
        <v>32</v>
      </c>
      <c r="AM114" s="470">
        <f t="shared" si="179"/>
        <v>166.56751933372996</v>
      </c>
      <c r="AO114" s="470">
        <f t="shared" si="180"/>
        <v>32</v>
      </c>
      <c r="AP114" s="470">
        <f t="shared" si="181"/>
        <v>166.56751933372996</v>
      </c>
      <c r="AR114" s="6">
        <f t="shared" si="132"/>
        <v>6.0035714285714272</v>
      </c>
      <c r="AS114" s="6">
        <f t="shared" si="182"/>
        <v>0.63777777777777767</v>
      </c>
      <c r="AT114" s="6">
        <f t="shared" si="183"/>
        <v>5.3657936507936492</v>
      </c>
      <c r="AU114" s="178">
        <f t="shared" si="184"/>
        <v>0.10623306233062331</v>
      </c>
      <c r="AW114" s="6">
        <f>L*Iout^2/(2*Vripple1_spec*Vout*Npri_sec1^2)*1000000000*((1+N114)/(1-N114))^2</f>
        <v>21.552126200274348</v>
      </c>
      <c r="AX114" s="6">
        <f>L*F114^2/(2*Cout*Vout*Nps^2)*1000000000*((1+N114)/(1-N114))^2+F114*RCoutEsr</f>
        <v>0.18404272830750371</v>
      </c>
      <c r="AY114" s="6">
        <f>L*Iout2^2/(2*Vout_ripple2*Vout2*Npri_sec2^2)*1000000000*((1+N114)/(1-N114))^2</f>
        <v>8.4187992969821668</v>
      </c>
      <c r="AZ114" s="6">
        <f>L*G114^2/(2*Cout2*Vout2*Npri_sec2^2)*1000000000*((1+N114)/(1-N114))^2+G114*CoutEsr2</f>
        <v>9.4391690745118634E-2</v>
      </c>
      <c r="BA114" s="6">
        <f>(H114+I114)/Efficiency/J114*AT114/Vinripple1</f>
        <v>0.58016118485514168</v>
      </c>
      <c r="BB114" s="6"/>
      <c r="BC114" s="6"/>
      <c r="BD114" s="178">
        <f t="shared" si="185"/>
        <v>0.15430609310837459</v>
      </c>
      <c r="BE114" s="178">
        <f t="shared" si="186"/>
        <v>0.4475745334164612</v>
      </c>
      <c r="BF114" s="178">
        <f t="shared" si="187"/>
        <v>0.27973408338528821</v>
      </c>
      <c r="BG114" s="178"/>
      <c r="BH114" s="543">
        <f t="shared" si="188"/>
        <v>2.6191407407407403E-3</v>
      </c>
      <c r="BI114" s="543">
        <f t="shared" si="189"/>
        <v>1.4512195121951224E-2</v>
      </c>
      <c r="BJ114" s="543">
        <f t="shared" si="190"/>
        <v>8.3283759666864989E-3</v>
      </c>
      <c r="BK114" s="543">
        <f t="shared" si="191"/>
        <v>1.6923520226055921E-2</v>
      </c>
      <c r="BL114">
        <f t="shared" si="192"/>
        <v>2.6099999999999999E-3</v>
      </c>
      <c r="BM114" s="470">
        <f t="shared" si="193"/>
        <v>44.99323205543439</v>
      </c>
      <c r="BN114" s="178">
        <f t="shared" si="194"/>
        <v>1.2800000000000001E-2</v>
      </c>
      <c r="BO114" s="178">
        <f t="shared" si="195"/>
        <v>8.0000000000000002E-3</v>
      </c>
      <c r="BP114" s="543"/>
      <c r="BR114" s="470">
        <f t="shared" si="196"/>
        <v>20.8</v>
      </c>
      <c r="BS114" s="543">
        <f t="shared" si="197"/>
        <v>9.5241481481481475E-4</v>
      </c>
      <c r="BT114" s="543">
        <f t="shared" si="198"/>
        <v>8.0129185185185189E-3</v>
      </c>
      <c r="BU114" s="543">
        <f t="shared" si="199"/>
        <v>2.3475347222222209E-3</v>
      </c>
      <c r="BV114" s="543">
        <f t="shared" si="200"/>
        <v>0</v>
      </c>
      <c r="BW114" s="648">
        <f t="shared" si="201"/>
        <v>4.2000000000000006E-3</v>
      </c>
      <c r="BX114" s="470">
        <f t="shared" si="202"/>
        <v>15.512868055555556</v>
      </c>
      <c r="BY114" s="178">
        <f t="shared" si="203"/>
        <v>8.1306100110989932E-2</v>
      </c>
      <c r="BZ114" s="6">
        <f t="shared" si="204"/>
        <v>0.624</v>
      </c>
      <c r="CA114" s="178">
        <f t="shared" si="205"/>
        <v>0.88472225024256101</v>
      </c>
      <c r="CB114" s="6">
        <f t="shared" si="206"/>
        <v>88.472225024256105</v>
      </c>
      <c r="CC114">
        <f t="shared" si="207"/>
        <v>4</v>
      </c>
      <c r="CE114" s="577">
        <f t="shared" si="208"/>
        <v>-50</v>
      </c>
      <c r="CF114">
        <f t="shared" si="209"/>
        <v>-50</v>
      </c>
    </row>
    <row r="115" spans="5:84" x14ac:dyDescent="0.2">
      <c r="E115" s="175">
        <v>5</v>
      </c>
      <c r="F115" s="222">
        <f t="shared" si="210"/>
        <v>4.0000000000000008E-2</v>
      </c>
      <c r="G115" s="222">
        <f t="shared" si="152"/>
        <v>2.5000000000000001E-2</v>
      </c>
      <c r="H115" s="222">
        <f t="shared" si="153"/>
        <v>0.48000000000000009</v>
      </c>
      <c r="I115" s="222">
        <f t="shared" si="154"/>
        <v>0.30000000000000004</v>
      </c>
      <c r="J115" s="556">
        <f t="shared" si="155"/>
        <v>9</v>
      </c>
      <c r="K115" s="452">
        <f t="shared" si="156"/>
        <v>12.25</v>
      </c>
      <c r="L115" s="452">
        <f t="shared" si="157"/>
        <v>21.25</v>
      </c>
      <c r="M115" s="452"/>
      <c r="N115" s="222">
        <f t="shared" si="158"/>
        <v>0.57647058823529407</v>
      </c>
      <c r="O115" s="177">
        <f t="shared" si="159"/>
        <v>6.2179004524886858</v>
      </c>
      <c r="P115" s="177">
        <f t="shared" si="160"/>
        <v>6.3150551470588203</v>
      </c>
      <c r="Q115" s="222">
        <f t="shared" si="161"/>
        <v>0.51815837104072382</v>
      </c>
      <c r="R115" s="222">
        <f t="shared" si="162"/>
        <v>0.51815837104072382</v>
      </c>
      <c r="S115" s="222">
        <f t="shared" si="163"/>
        <v>12</v>
      </c>
      <c r="T115" s="222">
        <f t="shared" si="164"/>
        <v>0.3165055495882565</v>
      </c>
      <c r="U115" s="222">
        <f t="shared" si="165"/>
        <v>0.24617098301308835</v>
      </c>
      <c r="V115" s="222">
        <f t="shared" si="166"/>
        <v>0.18086031405043229</v>
      </c>
      <c r="W115" s="202">
        <f t="shared" si="167"/>
        <v>350</v>
      </c>
      <c r="X115" s="452">
        <f t="shared" si="168"/>
        <v>350</v>
      </c>
      <c r="Z115" s="222">
        <f t="shared" si="169"/>
        <v>2.1176470588235294</v>
      </c>
      <c r="AA115" s="178">
        <f t="shared" si="170"/>
        <v>1.2100840336134453</v>
      </c>
      <c r="AB115" s="178">
        <f t="shared" si="171"/>
        <v>0.27596486558424271</v>
      </c>
      <c r="AC115" s="178"/>
      <c r="AD115" s="178">
        <f t="shared" si="172"/>
        <v>0.46857142857142853</v>
      </c>
      <c r="AE115" s="560">
        <f t="shared" si="173"/>
        <v>208.20939916716247</v>
      </c>
      <c r="AF115" s="543">
        <f t="shared" si="174"/>
        <v>6.723999999999998E-2</v>
      </c>
      <c r="AH115" s="178">
        <f t="shared" si="175"/>
        <v>0.7979565739296538</v>
      </c>
      <c r="AI115" s="178">
        <f t="shared" si="176"/>
        <v>0.82</v>
      </c>
      <c r="AJ115" s="178">
        <f t="shared" si="177"/>
        <v>1.1189767995240929</v>
      </c>
      <c r="AL115" s="560">
        <f t="shared" si="178"/>
        <v>40.000000000000007</v>
      </c>
      <c r="AM115" s="470">
        <f t="shared" si="179"/>
        <v>208.20939916716247</v>
      </c>
      <c r="AO115" s="470">
        <f t="shared" si="180"/>
        <v>40.000000000000007</v>
      </c>
      <c r="AP115" s="470">
        <f t="shared" si="181"/>
        <v>208.20939916716247</v>
      </c>
      <c r="AR115" s="6">
        <f t="shared" si="132"/>
        <v>4.8028571428571407</v>
      </c>
      <c r="AS115" s="6">
        <f t="shared" ref="AS115:AS178" si="211">L*AI115/J115*1000000</f>
        <v>0.63777777777777767</v>
      </c>
      <c r="AT115" s="6">
        <f t="shared" ref="AT115:AT178" si="212">AR115-AS115</f>
        <v>4.1650793650793627</v>
      </c>
      <c r="AU115" s="178">
        <f t="shared" ref="AU115:AU178" si="213">AS115/AR115</f>
        <v>0.13279132791327916</v>
      </c>
      <c r="AW115" s="6">
        <f>L*Iout^2/(2*Vripple1_spec*Vout*Npri_sec1^2)*1000000000*((1+N115)/(1-N115))^2</f>
        <v>21.552126200274348</v>
      </c>
      <c r="AX115" s="6">
        <f>L*F115^2/(2*Cout*Vout*Nps^2)*1000000000*((1+N115)/(1-N115))^2+F115*RCoutEsr</f>
        <v>0.25756676298047465</v>
      </c>
      <c r="AY115" s="6">
        <f>L*Iout2^2/(2*Vout_ripple2*Vout2*Npri_sec2^2)*1000000000*((1+N115)/(1-N115))^2</f>
        <v>8.4187992969821668</v>
      </c>
      <c r="AZ115" s="6">
        <f>L*G115^2/(2*Cout2*Vout2*Npri_sec2^2)*1000000000*((1+N115)/(1-N115))^2+G115*CoutEsr2</f>
        <v>0.1287370167892479</v>
      </c>
      <c r="BA115" s="6">
        <f>(H115+I115)/Efficiency/J115*AT115/Vinripple1</f>
        <v>0.56292170756108351</v>
      </c>
      <c r="BB115" s="6"/>
      <c r="BC115" s="6"/>
      <c r="BD115" s="178">
        <f t="shared" si="185"/>
        <v>0.17251945676636871</v>
      </c>
      <c r="BE115" s="178">
        <f t="shared" si="186"/>
        <v>0.44087455173821305</v>
      </c>
      <c r="BF115" s="178">
        <f t="shared" si="187"/>
        <v>0.27554659483638311</v>
      </c>
      <c r="BG115" s="178"/>
      <c r="BH115" s="543">
        <f t="shared" si="188"/>
        <v>3.2739259259259258E-3</v>
      </c>
      <c r="BI115" s="543">
        <f t="shared" si="189"/>
        <v>1.814024390243903E-2</v>
      </c>
      <c r="BJ115" s="543">
        <f t="shared" si="190"/>
        <v>1.0410469958358122E-2</v>
      </c>
      <c r="BK115" s="543">
        <f t="shared" si="191"/>
        <v>2.1154400282569905E-2</v>
      </c>
      <c r="BL115">
        <f t="shared" si="192"/>
        <v>2.6099999999999999E-3</v>
      </c>
      <c r="BM115" s="470">
        <f t="shared" si="193"/>
        <v>55.589040069292977</v>
      </c>
      <c r="BN115" s="178">
        <f t="shared" si="194"/>
        <v>1.6000000000000004E-2</v>
      </c>
      <c r="BO115" s="178">
        <f t="shared" si="195"/>
        <v>1.0000000000000002E-2</v>
      </c>
      <c r="BP115" s="543"/>
      <c r="BR115" s="470">
        <f t="shared" si="196"/>
        <v>26.000000000000007</v>
      </c>
      <c r="BS115" s="543">
        <f t="shared" si="197"/>
        <v>1.1905185185185185E-3</v>
      </c>
      <c r="BT115" s="543">
        <f t="shared" si="198"/>
        <v>7.7748148148148125E-3</v>
      </c>
      <c r="BU115" s="543">
        <f t="shared" si="199"/>
        <v>2.2777777777777761E-3</v>
      </c>
      <c r="BV115" s="543">
        <f t="shared" si="200"/>
        <v>0</v>
      </c>
      <c r="BW115" s="648">
        <f t="shared" si="201"/>
        <v>5.2500000000000012E-3</v>
      </c>
      <c r="BX115" s="470">
        <f t="shared" si="202"/>
        <v>16.493111111111109</v>
      </c>
      <c r="BY115" s="178">
        <f t="shared" si="203"/>
        <v>9.8082151180404115E-2</v>
      </c>
      <c r="BZ115" s="6">
        <f t="shared" si="204"/>
        <v>0.78000000000000014</v>
      </c>
      <c r="CA115" s="178">
        <f t="shared" si="205"/>
        <v>0.88829957305412433</v>
      </c>
      <c r="CB115" s="6">
        <f t="shared" si="206"/>
        <v>88.829957305412435</v>
      </c>
      <c r="CC115">
        <f t="shared" si="207"/>
        <v>5.0000000000000009</v>
      </c>
      <c r="CE115" s="577">
        <f t="shared" si="208"/>
        <v>-50</v>
      </c>
      <c r="CF115">
        <f t="shared" si="209"/>
        <v>-50</v>
      </c>
    </row>
    <row r="116" spans="5:84" x14ac:dyDescent="0.2">
      <c r="E116" s="175">
        <v>6</v>
      </c>
      <c r="F116" s="222">
        <f t="shared" si="210"/>
        <v>4.8000000000000001E-2</v>
      </c>
      <c r="G116" s="222">
        <f t="shared" si="152"/>
        <v>0.03</v>
      </c>
      <c r="H116" s="222">
        <f t="shared" si="153"/>
        <v>0.57600000000000007</v>
      </c>
      <c r="I116" s="222">
        <f t="shared" si="154"/>
        <v>0.36</v>
      </c>
      <c r="J116" s="556">
        <f t="shared" si="155"/>
        <v>9</v>
      </c>
      <c r="K116" s="452">
        <f t="shared" si="156"/>
        <v>12.25</v>
      </c>
      <c r="L116" s="452">
        <f t="shared" si="157"/>
        <v>21.25</v>
      </c>
      <c r="M116" s="452"/>
      <c r="N116" s="222">
        <f t="shared" si="158"/>
        <v>0.57647058823529407</v>
      </c>
      <c r="O116" s="177">
        <f t="shared" si="159"/>
        <v>6.2179004524886858</v>
      </c>
      <c r="P116" s="177">
        <f t="shared" si="160"/>
        <v>6.3150551470588203</v>
      </c>
      <c r="Q116" s="222">
        <f t="shared" si="161"/>
        <v>0.51815837104072382</v>
      </c>
      <c r="R116" s="222">
        <f t="shared" si="162"/>
        <v>0.51815837104072382</v>
      </c>
      <c r="S116" s="222">
        <f t="shared" si="163"/>
        <v>12</v>
      </c>
      <c r="T116" s="222">
        <f t="shared" si="164"/>
        <v>0.37980665950590775</v>
      </c>
      <c r="U116" s="222">
        <f t="shared" si="165"/>
        <v>0.295405179615706</v>
      </c>
      <c r="V116" s="222">
        <f t="shared" si="166"/>
        <v>0.21703237686051871</v>
      </c>
      <c r="W116" s="202">
        <f t="shared" si="167"/>
        <v>350</v>
      </c>
      <c r="X116" s="452">
        <f t="shared" si="168"/>
        <v>350</v>
      </c>
      <c r="Z116" s="222">
        <f t="shared" si="169"/>
        <v>2.1176470588235294</v>
      </c>
      <c r="AA116" s="178">
        <f t="shared" si="170"/>
        <v>1.2100840336134453</v>
      </c>
      <c r="AB116" s="178">
        <f t="shared" si="171"/>
        <v>0.27596486558424271</v>
      </c>
      <c r="AC116" s="178"/>
      <c r="AD116" s="178">
        <f t="shared" si="172"/>
        <v>0.46857142857142853</v>
      </c>
      <c r="AE116" s="560">
        <f t="shared" si="173"/>
        <v>249.85127900059496</v>
      </c>
      <c r="AF116" s="543">
        <f t="shared" si="174"/>
        <v>6.723999999999998E-2</v>
      </c>
      <c r="AH116" s="178">
        <f t="shared" si="175"/>
        <v>0.8741176309016202</v>
      </c>
      <c r="AI116" s="178">
        <f t="shared" si="176"/>
        <v>0.8741176309016202</v>
      </c>
      <c r="AJ116" s="178">
        <f t="shared" si="177"/>
        <v>1.1427721594289113</v>
      </c>
      <c r="AL116" s="560">
        <f t="shared" si="178"/>
        <v>48</v>
      </c>
      <c r="AM116" s="470">
        <f t="shared" si="179"/>
        <v>249.85127900059496</v>
      </c>
      <c r="AO116" s="470">
        <f t="shared" si="180"/>
        <v>48</v>
      </c>
      <c r="AP116" s="470">
        <f t="shared" si="181"/>
        <v>249.85127900059496</v>
      </c>
      <c r="AR116" s="6">
        <f t="shared" si="132"/>
        <v>4.0023809523809506</v>
      </c>
      <c r="AS116" s="6">
        <f t="shared" si="211"/>
        <v>0.67986926847903795</v>
      </c>
      <c r="AT116" s="6">
        <f t="shared" si="212"/>
        <v>3.3225116839019124</v>
      </c>
      <c r="AU116" s="178">
        <f t="shared" si="213"/>
        <v>0.16986620628268653</v>
      </c>
      <c r="AW116" s="6">
        <f>L*Iout^2/(2*Vripple1_spec*Vout*Npri_sec1^2)*1000000000*((1+N116)/(1-N116))^2</f>
        <v>21.552126200274348</v>
      </c>
      <c r="AX116" s="6">
        <f>L*F116^2/(2*Cout*Vout*Nps^2)*1000000000*((1+N116)/(1-N116))^2+F116*RCoutEsr</f>
        <v>0.34209613869188338</v>
      </c>
      <c r="AY116" s="6">
        <f>L*Iout2^2/(2*Vout_ripple2*Vout2*Npri_sec2^2)*1000000000*((1+N116)/(1-N116))^2</f>
        <v>8.4187992969821668</v>
      </c>
      <c r="AZ116" s="6">
        <f>L*G116^2/(2*Cout2*Vout2*Npri_sec2^2)*1000000000*((1+N116)/(1-N116))^2+G116*CoutEsr2</f>
        <v>0.16738130417651692</v>
      </c>
      <c r="BA116" s="6">
        <f>(H116+I116)/Efficiency/J116*AT116/Vinripple1</f>
        <v>0.53885569610261042</v>
      </c>
      <c r="BB116" s="6"/>
      <c r="BC116" s="6"/>
      <c r="BD116" s="178">
        <f t="shared" si="185"/>
        <v>0.20799971813206605</v>
      </c>
      <c r="BE116" s="178">
        <f t="shared" si="186"/>
        <v>0.45981517461693394</v>
      </c>
      <c r="BF116" s="178">
        <f t="shared" si="187"/>
        <v>0.28738448413558365</v>
      </c>
      <c r="BG116" s="178"/>
      <c r="BH116" s="543">
        <f t="shared" si="188"/>
        <v>4.7590271017320818E-3</v>
      </c>
      <c r="BI116" s="543">
        <f t="shared" si="189"/>
        <v>2.3204937108259854E-2</v>
      </c>
      <c r="BJ116" s="543">
        <f t="shared" si="190"/>
        <v>1.2492563950029746E-2</v>
      </c>
      <c r="BK116" s="543">
        <f t="shared" si="191"/>
        <v>2.5385280339083886E-2</v>
      </c>
      <c r="BL116">
        <f t="shared" si="192"/>
        <v>2.6099999999999999E-3</v>
      </c>
      <c r="BM116" s="470">
        <f t="shared" si="193"/>
        <v>68.451808499105567</v>
      </c>
      <c r="BN116" s="178">
        <f t="shared" si="194"/>
        <v>1.9200000000000002E-2</v>
      </c>
      <c r="BO116" s="178">
        <f t="shared" si="195"/>
        <v>1.2E-2</v>
      </c>
      <c r="BP116" s="543"/>
      <c r="BR116" s="470">
        <f t="shared" si="196"/>
        <v>31.200000000000003</v>
      </c>
      <c r="BS116" s="543">
        <f t="shared" si="197"/>
        <v>1.7305553097207572E-3</v>
      </c>
      <c r="BT116" s="543">
        <f t="shared" si="198"/>
        <v>8.4571997923200588E-3</v>
      </c>
      <c r="BU116" s="543">
        <f t="shared" si="199"/>
        <v>2.4776952516562659E-3</v>
      </c>
      <c r="BV116" s="543">
        <f t="shared" si="200"/>
        <v>0</v>
      </c>
      <c r="BW116" s="648">
        <f t="shared" si="201"/>
        <v>7.1590039942211296E-3</v>
      </c>
      <c r="BX116" s="470">
        <f t="shared" si="202"/>
        <v>19.824454347918213</v>
      </c>
      <c r="BY116" s="178">
        <f t="shared" si="203"/>
        <v>0.11947626284702377</v>
      </c>
      <c r="BZ116" s="6">
        <f t="shared" si="204"/>
        <v>0.93600000000000005</v>
      </c>
      <c r="CA116" s="178">
        <f t="shared" si="205"/>
        <v>0.88680345825613316</v>
      </c>
      <c r="CB116" s="6">
        <f t="shared" si="206"/>
        <v>88.680345825613315</v>
      </c>
      <c r="CC116">
        <f t="shared" si="207"/>
        <v>6</v>
      </c>
      <c r="CE116" s="577">
        <f t="shared" si="208"/>
        <v>-50</v>
      </c>
      <c r="CF116">
        <f t="shared" si="209"/>
        <v>-50</v>
      </c>
    </row>
    <row r="117" spans="5:84" x14ac:dyDescent="0.2">
      <c r="E117" s="175">
        <v>7</v>
      </c>
      <c r="F117" s="222">
        <f t="shared" si="210"/>
        <v>5.6000000000000008E-2</v>
      </c>
      <c r="G117" s="222">
        <f t="shared" si="152"/>
        <v>3.5000000000000003E-2</v>
      </c>
      <c r="H117" s="222">
        <f t="shared" si="153"/>
        <v>0.67200000000000015</v>
      </c>
      <c r="I117" s="222">
        <f t="shared" si="154"/>
        <v>0.42000000000000004</v>
      </c>
      <c r="J117" s="556">
        <f t="shared" si="155"/>
        <v>9</v>
      </c>
      <c r="K117" s="452">
        <f t="shared" si="156"/>
        <v>12.25</v>
      </c>
      <c r="L117" s="452">
        <f t="shared" si="157"/>
        <v>21.25</v>
      </c>
      <c r="M117" s="452"/>
      <c r="N117" s="222">
        <f t="shared" si="158"/>
        <v>0.57647058823529407</v>
      </c>
      <c r="O117" s="177">
        <f t="shared" si="159"/>
        <v>6.2179004524886858</v>
      </c>
      <c r="P117" s="177">
        <f t="shared" si="160"/>
        <v>6.3150551470588203</v>
      </c>
      <c r="Q117" s="222">
        <f t="shared" si="161"/>
        <v>0.51815837104072382</v>
      </c>
      <c r="R117" s="222">
        <f t="shared" si="162"/>
        <v>0.51815837104072382</v>
      </c>
      <c r="S117" s="222">
        <f t="shared" si="163"/>
        <v>12</v>
      </c>
      <c r="T117" s="222">
        <f t="shared" si="164"/>
        <v>0.44310776942355901</v>
      </c>
      <c r="U117" s="222">
        <f t="shared" si="165"/>
        <v>0.34463937621832363</v>
      </c>
      <c r="V117" s="222">
        <f t="shared" si="166"/>
        <v>0.25320443967060513</v>
      </c>
      <c r="W117" s="202">
        <f t="shared" si="167"/>
        <v>350</v>
      </c>
      <c r="X117" s="452">
        <f t="shared" si="168"/>
        <v>350</v>
      </c>
      <c r="Z117" s="222">
        <f t="shared" si="169"/>
        <v>2.1176470588235294</v>
      </c>
      <c r="AA117" s="178">
        <f t="shared" si="170"/>
        <v>1.2100840336134453</v>
      </c>
      <c r="AB117" s="178">
        <f t="shared" si="171"/>
        <v>0.27596486558424271</v>
      </c>
      <c r="AC117" s="178"/>
      <c r="AD117" s="178">
        <f t="shared" si="172"/>
        <v>0.46857142857142853</v>
      </c>
      <c r="AE117" s="560">
        <f t="shared" si="173"/>
        <v>291.4931588340275</v>
      </c>
      <c r="AF117" s="543">
        <f t="shared" si="174"/>
        <v>6.723999999999998E-2</v>
      </c>
      <c r="AH117" s="178">
        <f t="shared" si="175"/>
        <v>0.9441549509633318</v>
      </c>
      <c r="AI117" s="178">
        <f t="shared" si="176"/>
        <v>0.9441549509633318</v>
      </c>
      <c r="AJ117" s="178">
        <f t="shared" si="177"/>
        <v>1.1665675193337299</v>
      </c>
      <c r="AL117" s="560">
        <f t="shared" si="178"/>
        <v>56.000000000000007</v>
      </c>
      <c r="AM117" s="470">
        <f t="shared" si="179"/>
        <v>291.4931588340275</v>
      </c>
      <c r="AO117" s="470">
        <f t="shared" si="180"/>
        <v>56.000000000000007</v>
      </c>
      <c r="AP117" s="470">
        <f t="shared" si="181"/>
        <v>291.4931588340275</v>
      </c>
      <c r="AR117" s="6">
        <f t="shared" si="132"/>
        <v>3.4306122448979579</v>
      </c>
      <c r="AS117" s="6">
        <f t="shared" si="211"/>
        <v>0.73434273963814689</v>
      </c>
      <c r="AT117" s="6">
        <f t="shared" si="212"/>
        <v>2.6962695052598109</v>
      </c>
      <c r="AU117" s="178">
        <f t="shared" si="213"/>
        <v>0.21405588484395724</v>
      </c>
      <c r="AW117" s="6">
        <f>L*Iout^2/(2*Vripple1_spec*Vout*Npri_sec1^2)*1000000000*((1+N117)/(1-N117))^2</f>
        <v>21.552126200274348</v>
      </c>
      <c r="AX117" s="6">
        <f>L*F117^2/(2*Cout*Vout*Nps^2)*1000000000*((1+N117)/(1-N117))^2+F117*RCoutEsr</f>
        <v>0.43763085544173025</v>
      </c>
      <c r="AY117" s="6">
        <f>L*Iout2^2/(2*Vout_ripple2*Vout2*Npri_sec2^2)*1000000000*((1+N117)/(1-N117))^2</f>
        <v>8.4187992969821668</v>
      </c>
      <c r="AZ117" s="6">
        <f>L*G117^2/(2*Cout2*Vout2*Npri_sec2^2)*1000000000*((1+N117)/(1-N117))^2+G117*CoutEsr2</f>
        <v>0.21032455290692581</v>
      </c>
      <c r="BA117" s="6">
        <f>(H117+I117)/Efficiency/J117*AT117/Vinripple1</f>
        <v>0.51017133198938069</v>
      </c>
      <c r="BB117" s="6"/>
      <c r="BC117" s="6"/>
      <c r="BD117" s="178">
        <f t="shared" si="185"/>
        <v>0.25220066853752765</v>
      </c>
      <c r="BE117" s="178">
        <f t="shared" si="186"/>
        <v>0.48325736407434217</v>
      </c>
      <c r="BF117" s="178">
        <f t="shared" si="187"/>
        <v>0.30203585254646381</v>
      </c>
      <c r="BG117" s="178"/>
      <c r="BH117" s="543">
        <f t="shared" si="188"/>
        <v>6.9965694931853487E-3</v>
      </c>
      <c r="BI117" s="543">
        <f t="shared" si="189"/>
        <v>2.9241562840290593E-2</v>
      </c>
      <c r="BJ117" s="543">
        <f t="shared" si="190"/>
        <v>1.4574657941701374E-2</v>
      </c>
      <c r="BK117" s="543">
        <f t="shared" si="191"/>
        <v>2.9616160395597873E-2</v>
      </c>
      <c r="BL117">
        <f t="shared" si="192"/>
        <v>2.6099999999999999E-3</v>
      </c>
      <c r="BM117" s="470">
        <f t="shared" si="193"/>
        <v>83.038950670775179</v>
      </c>
      <c r="BN117" s="178">
        <f t="shared" si="194"/>
        <v>2.2400000000000003E-2</v>
      </c>
      <c r="BO117" s="178">
        <f t="shared" si="195"/>
        <v>1.4000000000000002E-2</v>
      </c>
      <c r="BP117" s="543"/>
      <c r="BR117" s="470">
        <f t="shared" si="196"/>
        <v>36.4</v>
      </c>
      <c r="BS117" s="543">
        <f t="shared" si="197"/>
        <v>2.5442070884310361E-3</v>
      </c>
      <c r="BT117" s="543">
        <f t="shared" si="198"/>
        <v>9.3415071972832529E-3</v>
      </c>
      <c r="BU117" s="543">
        <f t="shared" si="199"/>
        <v>2.7367696867040769E-3</v>
      </c>
      <c r="BV117" s="543">
        <f t="shared" si="200"/>
        <v>0</v>
      </c>
      <c r="BW117" s="648">
        <f t="shared" si="201"/>
        <v>9.744199881023206E-3</v>
      </c>
      <c r="BX117" s="470">
        <f t="shared" si="202"/>
        <v>24.366683853441575</v>
      </c>
      <c r="BY117" s="178">
        <f t="shared" si="203"/>
        <v>0.14380563452421677</v>
      </c>
      <c r="BZ117" s="6">
        <f t="shared" si="204"/>
        <v>1.0920000000000001</v>
      </c>
      <c r="CA117" s="178">
        <f t="shared" si="205"/>
        <v>0.8836341002931406</v>
      </c>
      <c r="CB117" s="6">
        <f t="shared" si="206"/>
        <v>88.363410029314053</v>
      </c>
      <c r="CC117">
        <f t="shared" si="207"/>
        <v>7.0000000000000009</v>
      </c>
      <c r="CE117" s="577">
        <f t="shared" si="208"/>
        <v>-50</v>
      </c>
      <c r="CF117">
        <f t="shared" si="209"/>
        <v>-50</v>
      </c>
    </row>
    <row r="118" spans="5:84" x14ac:dyDescent="0.2">
      <c r="E118" s="175">
        <v>8</v>
      </c>
      <c r="F118" s="222">
        <f t="shared" si="210"/>
        <v>6.4000000000000001E-2</v>
      </c>
      <c r="G118" s="222">
        <f t="shared" si="152"/>
        <v>0.04</v>
      </c>
      <c r="H118" s="222">
        <f t="shared" si="153"/>
        <v>0.76800000000000002</v>
      </c>
      <c r="I118" s="222">
        <f t="shared" si="154"/>
        <v>0.48</v>
      </c>
      <c r="J118" s="556">
        <f t="shared" si="155"/>
        <v>9</v>
      </c>
      <c r="K118" s="452">
        <f t="shared" si="156"/>
        <v>12.25</v>
      </c>
      <c r="L118" s="452">
        <f t="shared" si="157"/>
        <v>21.25</v>
      </c>
      <c r="M118" s="452"/>
      <c r="N118" s="222">
        <f t="shared" si="158"/>
        <v>0.57647058823529407</v>
      </c>
      <c r="O118" s="177">
        <f t="shared" si="159"/>
        <v>6.2179004524886858</v>
      </c>
      <c r="P118" s="177">
        <f t="shared" si="160"/>
        <v>6.3150551470588203</v>
      </c>
      <c r="Q118" s="222">
        <f t="shared" si="161"/>
        <v>0.51815837104072382</v>
      </c>
      <c r="R118" s="222">
        <f t="shared" si="162"/>
        <v>0.51815837104072382</v>
      </c>
      <c r="S118" s="222">
        <f t="shared" si="163"/>
        <v>12</v>
      </c>
      <c r="T118" s="222">
        <f t="shared" si="164"/>
        <v>0.50640887934121026</v>
      </c>
      <c r="U118" s="222">
        <f t="shared" si="165"/>
        <v>0.39387357282094132</v>
      </c>
      <c r="V118" s="222">
        <f t="shared" si="166"/>
        <v>0.28937650248069158</v>
      </c>
      <c r="W118" s="202">
        <f t="shared" si="167"/>
        <v>350</v>
      </c>
      <c r="X118" s="452">
        <f t="shared" si="168"/>
        <v>350</v>
      </c>
      <c r="Z118" s="222">
        <f t="shared" si="169"/>
        <v>2.1176470588235294</v>
      </c>
      <c r="AA118" s="178">
        <f t="shared" si="170"/>
        <v>1.2100840336134453</v>
      </c>
      <c r="AB118" s="178">
        <f t="shared" si="171"/>
        <v>0.27596486558424271</v>
      </c>
      <c r="AC118" s="178"/>
      <c r="AD118" s="178">
        <f t="shared" si="172"/>
        <v>0.46857142857142853</v>
      </c>
      <c r="AE118" s="560">
        <f t="shared" si="173"/>
        <v>333.13503866745992</v>
      </c>
      <c r="AF118" s="543">
        <f t="shared" si="174"/>
        <v>6.723999999999998E-2</v>
      </c>
      <c r="AH118" s="178">
        <f t="shared" si="175"/>
        <v>1.0093440990088969</v>
      </c>
      <c r="AI118" s="178">
        <f t="shared" si="176"/>
        <v>1.0093440990088969</v>
      </c>
      <c r="AJ118" s="178">
        <f t="shared" si="177"/>
        <v>1.1903628792385486</v>
      </c>
      <c r="AL118" s="560">
        <f t="shared" si="178"/>
        <v>64</v>
      </c>
      <c r="AM118" s="470">
        <f t="shared" si="179"/>
        <v>333.13503866745992</v>
      </c>
      <c r="AO118" s="470">
        <f t="shared" si="180"/>
        <v>64</v>
      </c>
      <c r="AP118" s="470">
        <f t="shared" si="181"/>
        <v>333.13503866745992</v>
      </c>
      <c r="AR118" s="6">
        <f t="shared" si="132"/>
        <v>3.0017857142857136</v>
      </c>
      <c r="AS118" s="6">
        <f t="shared" si="211"/>
        <v>0.7850454103402531</v>
      </c>
      <c r="AT118" s="6">
        <f t="shared" si="212"/>
        <v>2.2167403039454605</v>
      </c>
      <c r="AU118" s="178">
        <f t="shared" si="213"/>
        <v>0.26152613312941214</v>
      </c>
      <c r="AW118" s="6">
        <f>L*Iout^2/(2*Vripple1_spec*Vout*Npri_sec1^2)*1000000000*((1+N118)/(1-N118))^2</f>
        <v>21.552126200274348</v>
      </c>
      <c r="AX118" s="6">
        <f>L*F118^2/(2*Cout*Vout*Nps^2)*1000000000*((1+N118)/(1-N118))^2+F118*RCoutEsr</f>
        <v>0.54417091323001476</v>
      </c>
      <c r="AY118" s="6">
        <f>L*Iout2^2/(2*Vout_ripple2*Vout2*Npri_sec2^2)*1000000000*((1+N118)/(1-N118))^2</f>
        <v>8.4187992969821668</v>
      </c>
      <c r="AZ118" s="6">
        <f>L*G118^2/(2*Cout2*Vout2*Npri_sec2^2)*1000000000*((1+N118)/(1-N118))^2+G118*CoutEsr2</f>
        <v>0.25756676298047454</v>
      </c>
      <c r="BA118" s="6">
        <f>(H118+I118)/Efficiency/J118*AT118/Vinripple1</f>
        <v>0.47935748742888185</v>
      </c>
      <c r="BB118" s="6"/>
      <c r="BC118" s="6"/>
      <c r="BD118" s="178">
        <f t="shared" si="185"/>
        <v>0.29801365724332024</v>
      </c>
      <c r="BE118" s="178">
        <f t="shared" si="186"/>
        <v>0.50077908985016018</v>
      </c>
      <c r="BF118" s="178">
        <f t="shared" si="187"/>
        <v>0.31298693115635007</v>
      </c>
      <c r="BG118" s="178"/>
      <c r="BH118" s="543">
        <f t="shared" si="188"/>
        <v>9.7693353893893078E-3</v>
      </c>
      <c r="BI118" s="543">
        <f t="shared" si="189"/>
        <v>3.5726337829285769E-2</v>
      </c>
      <c r="BJ118" s="543">
        <f t="shared" si="190"/>
        <v>1.6656751933372998E-2</v>
      </c>
      <c r="BK118" s="543">
        <f t="shared" si="191"/>
        <v>3.3847040452111843E-2</v>
      </c>
      <c r="BL118">
        <f t="shared" si="192"/>
        <v>2.6099999999999999E-3</v>
      </c>
      <c r="BM118" s="470">
        <f t="shared" si="193"/>
        <v>98.609465604159922</v>
      </c>
      <c r="BN118" s="178">
        <f t="shared" si="194"/>
        <v>2.5600000000000001E-2</v>
      </c>
      <c r="BO118" s="178">
        <f t="shared" si="195"/>
        <v>1.6E-2</v>
      </c>
      <c r="BP118" s="543"/>
      <c r="BR118" s="470">
        <f t="shared" si="196"/>
        <v>41.6</v>
      </c>
      <c r="BS118" s="543">
        <f t="shared" si="197"/>
        <v>3.5524855961415664E-3</v>
      </c>
      <c r="BT118" s="543">
        <f t="shared" si="198"/>
        <v>1.0031187873246193E-2</v>
      </c>
      <c r="BU118" s="543">
        <f t="shared" si="199"/>
        <v>2.9388245722400943E-3</v>
      </c>
      <c r="BV118" s="543">
        <f t="shared" si="200"/>
        <v>0</v>
      </c>
      <c r="BW118" s="648">
        <f t="shared" si="201"/>
        <v>1.2727118211948678E-2</v>
      </c>
      <c r="BX118" s="470">
        <f t="shared" si="202"/>
        <v>29.249616253576534</v>
      </c>
      <c r="BY118" s="178">
        <f t="shared" si="203"/>
        <v>0.16945908185773648</v>
      </c>
      <c r="BZ118" s="6">
        <f t="shared" si="204"/>
        <v>1.248</v>
      </c>
      <c r="CA118" s="178">
        <f t="shared" si="205"/>
        <v>0.88044869582009977</v>
      </c>
      <c r="CB118" s="6">
        <f t="shared" si="206"/>
        <v>88.04486958200998</v>
      </c>
      <c r="CC118">
        <f t="shared" si="207"/>
        <v>8</v>
      </c>
      <c r="CE118" s="577">
        <f t="shared" si="208"/>
        <v>-50</v>
      </c>
      <c r="CF118">
        <f t="shared" si="209"/>
        <v>-50</v>
      </c>
    </row>
    <row r="119" spans="5:84" x14ac:dyDescent="0.2">
      <c r="E119" s="175">
        <v>9</v>
      </c>
      <c r="F119" s="222">
        <f t="shared" si="210"/>
        <v>7.1999999999999995E-2</v>
      </c>
      <c r="G119" s="222">
        <f t="shared" si="152"/>
        <v>4.4999999999999998E-2</v>
      </c>
      <c r="H119" s="222">
        <f t="shared" si="153"/>
        <v>0.86399999999999988</v>
      </c>
      <c r="I119" s="222">
        <f t="shared" si="154"/>
        <v>0.54</v>
      </c>
      <c r="J119" s="556">
        <f t="shared" si="155"/>
        <v>9</v>
      </c>
      <c r="K119" s="452">
        <f t="shared" si="156"/>
        <v>12.25</v>
      </c>
      <c r="L119" s="452">
        <f t="shared" si="157"/>
        <v>21.25</v>
      </c>
      <c r="M119" s="452"/>
      <c r="N119" s="222">
        <f t="shared" si="158"/>
        <v>0.57647058823529407</v>
      </c>
      <c r="O119" s="177">
        <f t="shared" si="159"/>
        <v>6.2179004524886858</v>
      </c>
      <c r="P119" s="177">
        <f t="shared" si="160"/>
        <v>6.3150551470588203</v>
      </c>
      <c r="Q119" s="222">
        <f t="shared" si="161"/>
        <v>0.51815837104072382</v>
      </c>
      <c r="R119" s="222">
        <f t="shared" si="162"/>
        <v>0.51815837104072382</v>
      </c>
      <c r="S119" s="222">
        <f t="shared" si="163"/>
        <v>12</v>
      </c>
      <c r="T119" s="222">
        <f t="shared" si="164"/>
        <v>0.56970998925886152</v>
      </c>
      <c r="U119" s="222">
        <f t="shared" si="165"/>
        <v>0.44310776942355895</v>
      </c>
      <c r="V119" s="222">
        <f t="shared" si="166"/>
        <v>0.32554856529077797</v>
      </c>
      <c r="W119" s="202">
        <f t="shared" si="167"/>
        <v>350</v>
      </c>
      <c r="X119" s="452">
        <f t="shared" si="168"/>
        <v>350</v>
      </c>
      <c r="Z119" s="222">
        <f t="shared" si="169"/>
        <v>2.1176470588235294</v>
      </c>
      <c r="AA119" s="178">
        <f t="shared" si="170"/>
        <v>1.2100840336134453</v>
      </c>
      <c r="AB119" s="178">
        <f t="shared" si="171"/>
        <v>0.27596486558424271</v>
      </c>
      <c r="AC119" s="178"/>
      <c r="AD119" s="178">
        <f t="shared" si="172"/>
        <v>0.46857142857142853</v>
      </c>
      <c r="AE119" s="560">
        <f t="shared" si="173"/>
        <v>374.77691850089235</v>
      </c>
      <c r="AF119" s="543">
        <f t="shared" si="174"/>
        <v>6.723999999999998E-2</v>
      </c>
      <c r="AH119" s="178">
        <f t="shared" si="175"/>
        <v>1.0705710854397252</v>
      </c>
      <c r="AI119" s="178">
        <f t="shared" si="176"/>
        <v>1.0705710854397252</v>
      </c>
      <c r="AJ119" s="178">
        <f t="shared" si="177"/>
        <v>1.3856082114368335</v>
      </c>
      <c r="AL119" s="560">
        <f t="shared" si="178"/>
        <v>72</v>
      </c>
      <c r="AM119" s="470">
        <f t="shared" si="179"/>
        <v>350</v>
      </c>
      <c r="AO119" s="470">
        <f t="shared" si="180"/>
        <v>72</v>
      </c>
      <c r="AP119" s="470">
        <f t="shared" si="181"/>
        <v>350</v>
      </c>
      <c r="AR119" s="6">
        <f t="shared" si="132"/>
        <v>2.8571428571428572</v>
      </c>
      <c r="AS119" s="6">
        <f t="shared" si="211"/>
        <v>0.83266639978645296</v>
      </c>
      <c r="AT119" s="6">
        <f t="shared" si="212"/>
        <v>2.0244764573564042</v>
      </c>
      <c r="AU119" s="178">
        <f t="shared" si="213"/>
        <v>0.29143323992525855</v>
      </c>
      <c r="AW119" s="6">
        <f>L*Iout^2/(2*Vripple1_spec*Vout*Npri_sec1^2)*1000000000*((1+N119)/(1-N119))^2</f>
        <v>21.552126200274348</v>
      </c>
      <c r="AX119" s="6">
        <f>L*F119^2/(2*Cout*Vout*Nps^2)*1000000000*((1+N119)/(1-N119))^2+F119*RCoutEsr</f>
        <v>0.66171631205673753</v>
      </c>
      <c r="AY119" s="6">
        <f>L*Iout2^2/(2*Vout_ripple2*Vout2*Npri_sec2^2)*1000000000*((1+N119)/(1-N119))^2</f>
        <v>8.4187992969821668</v>
      </c>
      <c r="AZ119" s="6">
        <f>L*G119^2/(2*Cout2*Vout2*Npri_sec2^2)*1000000000*((1+N119)/(1-N119))^2+G119*CoutEsr2</f>
        <v>0.30910793439716311</v>
      </c>
      <c r="BA119" s="6">
        <f>(H119+I119)/Efficiency/J119*AT119/Vinripple1</f>
        <v>0.49250421418728896</v>
      </c>
      <c r="BB119" s="6"/>
      <c r="BC119" s="6"/>
      <c r="BD119" s="178">
        <f t="shared" si="185"/>
        <v>0.33367558029578881</v>
      </c>
      <c r="BE119" s="178">
        <f t="shared" si="186"/>
        <v>0.52028974950579132</v>
      </c>
      <c r="BF119" s="178">
        <f t="shared" si="187"/>
        <v>0.32518109344111951</v>
      </c>
      <c r="BG119" s="178"/>
      <c r="BH119" s="543">
        <f t="shared" si="188"/>
        <v>1.2247333217430455E-2</v>
      </c>
      <c r="BI119" s="543">
        <f t="shared" si="189"/>
        <v>3.9811862239789789E-2</v>
      </c>
      <c r="BJ119" s="543">
        <f t="shared" si="190"/>
        <v>1.7499999999999998E-2</v>
      </c>
      <c r="BK119" s="543">
        <f t="shared" si="191"/>
        <v>3.5560546875000001E-2</v>
      </c>
      <c r="BL119">
        <f t="shared" si="192"/>
        <v>2.6099999999999999E-3</v>
      </c>
      <c r="BM119" s="470">
        <f t="shared" si="193"/>
        <v>107.72974233222024</v>
      </c>
      <c r="BN119" s="178">
        <f t="shared" si="194"/>
        <v>2.8799999999999999E-2</v>
      </c>
      <c r="BO119" s="178">
        <f t="shared" si="195"/>
        <v>1.7999999999999999E-2</v>
      </c>
      <c r="BP119" s="543"/>
      <c r="BR119" s="470">
        <f t="shared" si="196"/>
        <v>46.8</v>
      </c>
      <c r="BS119" s="543">
        <f t="shared" si="197"/>
        <v>4.4535757154292562E-3</v>
      </c>
      <c r="BT119" s="543">
        <f t="shared" si="198"/>
        <v>1.0828056937631962E-2</v>
      </c>
      <c r="BU119" s="543">
        <f t="shared" si="199"/>
        <v>3.1722823059468627E-3</v>
      </c>
      <c r="BV119" s="543">
        <f t="shared" si="200"/>
        <v>0</v>
      </c>
      <c r="BW119" s="648">
        <f t="shared" si="201"/>
        <v>1.5042857142857139E-2</v>
      </c>
      <c r="BX119" s="470">
        <f t="shared" si="202"/>
        <v>33.496772101865218</v>
      </c>
      <c r="BY119" s="178">
        <f t="shared" si="203"/>
        <v>0.18802651443408544</v>
      </c>
      <c r="BZ119" s="6">
        <f t="shared" si="204"/>
        <v>1.4039999999999999</v>
      </c>
      <c r="CA119" s="178">
        <f t="shared" si="205"/>
        <v>0.88189485996034256</v>
      </c>
      <c r="CB119" s="6">
        <f t="shared" si="206"/>
        <v>88.18948599603425</v>
      </c>
      <c r="CC119">
        <f t="shared" si="207"/>
        <v>8.9999999999999982</v>
      </c>
      <c r="CE119" s="577">
        <f t="shared" si="208"/>
        <v>-50</v>
      </c>
      <c r="CF119">
        <f t="shared" si="209"/>
        <v>-50</v>
      </c>
    </row>
    <row r="120" spans="5:84" x14ac:dyDescent="0.2">
      <c r="E120" s="175">
        <v>10</v>
      </c>
      <c r="F120" s="222">
        <f t="shared" si="210"/>
        <v>8.0000000000000016E-2</v>
      </c>
      <c r="G120" s="222">
        <f t="shared" si="152"/>
        <v>0.05</v>
      </c>
      <c r="H120" s="222">
        <f t="shared" si="153"/>
        <v>0.96000000000000019</v>
      </c>
      <c r="I120" s="222">
        <f t="shared" si="154"/>
        <v>0.60000000000000009</v>
      </c>
      <c r="J120" s="556">
        <f t="shared" si="155"/>
        <v>9</v>
      </c>
      <c r="K120" s="452">
        <f t="shared" si="156"/>
        <v>12.25</v>
      </c>
      <c r="L120" s="452">
        <f t="shared" si="157"/>
        <v>21.25</v>
      </c>
      <c r="M120" s="452"/>
      <c r="N120" s="222">
        <f t="shared" si="158"/>
        <v>0.57647058823529407</v>
      </c>
      <c r="O120" s="177">
        <f t="shared" si="159"/>
        <v>6.2179004524886858</v>
      </c>
      <c r="P120" s="177">
        <f t="shared" si="160"/>
        <v>6.3150551470588203</v>
      </c>
      <c r="Q120" s="222">
        <f t="shared" si="161"/>
        <v>0.51815837104072382</v>
      </c>
      <c r="R120" s="222">
        <f t="shared" si="162"/>
        <v>0.51815837104072382</v>
      </c>
      <c r="S120" s="222">
        <f t="shared" si="163"/>
        <v>12</v>
      </c>
      <c r="T120" s="222">
        <f t="shared" si="164"/>
        <v>0.63301109917651299</v>
      </c>
      <c r="U120" s="222">
        <f t="shared" si="165"/>
        <v>0.49234196602617669</v>
      </c>
      <c r="V120" s="222">
        <f t="shared" si="166"/>
        <v>0.36172062810086458</v>
      </c>
      <c r="W120" s="202">
        <f t="shared" si="167"/>
        <v>350</v>
      </c>
      <c r="X120" s="452">
        <f t="shared" si="168"/>
        <v>350</v>
      </c>
      <c r="Z120" s="222">
        <f t="shared" si="169"/>
        <v>2.1176470588235294</v>
      </c>
      <c r="AA120" s="178">
        <f t="shared" si="170"/>
        <v>1.2100840336134453</v>
      </c>
      <c r="AB120" s="178">
        <f t="shared" si="171"/>
        <v>0.27596486558424271</v>
      </c>
      <c r="AC120" s="178"/>
      <c r="AD120" s="178">
        <f t="shared" si="172"/>
        <v>0.46857142857142853</v>
      </c>
      <c r="AE120" s="560">
        <f t="shared" si="173"/>
        <v>416.41879833432495</v>
      </c>
      <c r="AF120" s="543">
        <f t="shared" si="174"/>
        <v>6.723999999999998E-2</v>
      </c>
      <c r="AH120" s="178">
        <f t="shared" si="175"/>
        <v>1.1284810090360857</v>
      </c>
      <c r="AI120" s="178">
        <f t="shared" si="176"/>
        <v>1.1284810090360857</v>
      </c>
      <c r="AJ120" s="178">
        <f t="shared" si="177"/>
        <v>1.4285044511378413</v>
      </c>
      <c r="AL120" s="560">
        <f t="shared" si="178"/>
        <v>80.000000000000014</v>
      </c>
      <c r="AM120" s="470">
        <f t="shared" si="179"/>
        <v>350</v>
      </c>
      <c r="AO120" s="470">
        <f t="shared" si="180"/>
        <v>80.000000000000014</v>
      </c>
      <c r="AP120" s="470">
        <f t="shared" si="181"/>
        <v>350</v>
      </c>
      <c r="AR120" s="6">
        <f t="shared" si="132"/>
        <v>2.8571428571428572</v>
      </c>
      <c r="AS120" s="6">
        <f t="shared" si="211"/>
        <v>0.87770745147251106</v>
      </c>
      <c r="AT120" s="6">
        <f t="shared" si="212"/>
        <v>1.9794354056703463</v>
      </c>
      <c r="AU120" s="178">
        <f t="shared" si="213"/>
        <v>0.30719760801537888</v>
      </c>
      <c r="AW120" s="6">
        <f>L*Iout^2/(2*Vripple1_spec*Vout*Npri_sec1^2)*1000000000*((1+N120)/(1-N120))^2</f>
        <v>21.552126200274348</v>
      </c>
      <c r="AX120" s="6">
        <f>L*F120^2/(2*Cout*Vout*Nps^2)*1000000000*((1+N120)/(1-N120))^2+F120*RCoutEsr</f>
        <v>0.79026705192189839</v>
      </c>
      <c r="AY120" s="6">
        <f>L*Iout2^2/(2*Vout_ripple2*Vout2*Npri_sec2^2)*1000000000*((1+N120)/(1-N120))^2</f>
        <v>8.4187992969821668</v>
      </c>
      <c r="AZ120" s="6">
        <f>L*G120^2/(2*Cout2*Vout2*Npri_sec2^2)*1000000000*((1+N120)/(1-N120))^2+G120*CoutEsr2</f>
        <v>0.36494806715699157</v>
      </c>
      <c r="BA120" s="6">
        <f>(H120+I120)/Efficiency/J120*AT120/Vinripple1</f>
        <v>0.53505206547034712</v>
      </c>
      <c r="BB120" s="6"/>
      <c r="BC120" s="6"/>
      <c r="BD120" s="178">
        <f t="shared" si="185"/>
        <v>0.36111251699859259</v>
      </c>
      <c r="BE120" s="178">
        <f t="shared" si="186"/>
        <v>0.54229839201800012</v>
      </c>
      <c r="BF120" s="178">
        <f t="shared" si="187"/>
        <v>0.33893649501125001</v>
      </c>
      <c r="BG120" s="178"/>
      <c r="BH120" s="543">
        <f t="shared" si="188"/>
        <v>1.4344247492636471E-2</v>
      </c>
      <c r="BI120" s="543">
        <f t="shared" si="189"/>
        <v>4.1965387523529449E-2</v>
      </c>
      <c r="BJ120" s="543">
        <f t="shared" si="190"/>
        <v>1.7499999999999998E-2</v>
      </c>
      <c r="BK120" s="543">
        <f t="shared" si="191"/>
        <v>3.5560546875000001E-2</v>
      </c>
      <c r="BL120">
        <f t="shared" si="192"/>
        <v>2.6099999999999999E-3</v>
      </c>
      <c r="BM120" s="470">
        <f t="shared" si="193"/>
        <v>111.98018189116591</v>
      </c>
      <c r="BN120" s="178">
        <f t="shared" si="194"/>
        <v>3.2000000000000008E-2</v>
      </c>
      <c r="BO120" s="178">
        <f t="shared" si="195"/>
        <v>2.0000000000000004E-2</v>
      </c>
      <c r="BP120" s="543"/>
      <c r="BR120" s="470">
        <f t="shared" si="196"/>
        <v>52.000000000000014</v>
      </c>
      <c r="BS120" s="543">
        <f t="shared" si="197"/>
        <v>5.2160899973223533E-3</v>
      </c>
      <c r="BT120" s="543">
        <f t="shared" si="198"/>
        <v>1.1763501839412343E-2</v>
      </c>
      <c r="BU120" s="543">
        <f t="shared" si="199"/>
        <v>3.4463384295153328E-3</v>
      </c>
      <c r="BV120" s="543">
        <f t="shared" si="200"/>
        <v>0</v>
      </c>
      <c r="BW120" s="648">
        <f t="shared" si="201"/>
        <v>1.671428571428572E-2</v>
      </c>
      <c r="BX120" s="470">
        <f t="shared" si="202"/>
        <v>37.140215980535757</v>
      </c>
      <c r="BY120" s="178">
        <f t="shared" si="203"/>
        <v>0.20112039787170166</v>
      </c>
      <c r="BZ120" s="6">
        <f t="shared" si="204"/>
        <v>1.5600000000000003</v>
      </c>
      <c r="CA120" s="178">
        <f t="shared" si="205"/>
        <v>0.88579974536962169</v>
      </c>
      <c r="CB120" s="6">
        <f t="shared" si="206"/>
        <v>88.579974536962169</v>
      </c>
      <c r="CC120">
        <f t="shared" si="207"/>
        <v>10.000000000000002</v>
      </c>
      <c r="CE120" s="577">
        <f t="shared" si="208"/>
        <v>-50</v>
      </c>
      <c r="CF120">
        <f t="shared" si="209"/>
        <v>-50</v>
      </c>
    </row>
    <row r="121" spans="5:84" x14ac:dyDescent="0.2">
      <c r="E121" s="175">
        <v>11</v>
      </c>
      <c r="F121" s="222">
        <f t="shared" si="210"/>
        <v>8.8000000000000009E-2</v>
      </c>
      <c r="G121" s="222">
        <f t="shared" si="152"/>
        <v>5.5E-2</v>
      </c>
      <c r="H121" s="222">
        <f t="shared" si="153"/>
        <v>1.056</v>
      </c>
      <c r="I121" s="222">
        <f t="shared" si="154"/>
        <v>0.66</v>
      </c>
      <c r="J121" s="556">
        <f t="shared" si="155"/>
        <v>9</v>
      </c>
      <c r="K121" s="452">
        <f t="shared" si="156"/>
        <v>12.25</v>
      </c>
      <c r="L121" s="452">
        <f t="shared" si="157"/>
        <v>21.25</v>
      </c>
      <c r="M121" s="452"/>
      <c r="N121" s="222">
        <f t="shared" si="158"/>
        <v>0.57647058823529407</v>
      </c>
      <c r="O121" s="177">
        <f t="shared" si="159"/>
        <v>6.2179004524886858</v>
      </c>
      <c r="P121" s="177">
        <f t="shared" si="160"/>
        <v>6.3150551470588203</v>
      </c>
      <c r="Q121" s="222">
        <f t="shared" si="161"/>
        <v>0.51815837104072382</v>
      </c>
      <c r="R121" s="222">
        <f t="shared" si="162"/>
        <v>0.51815837104072382</v>
      </c>
      <c r="S121" s="222">
        <f t="shared" si="163"/>
        <v>12</v>
      </c>
      <c r="T121" s="222">
        <f t="shared" si="164"/>
        <v>0.69631220909416425</v>
      </c>
      <c r="U121" s="222">
        <f t="shared" si="165"/>
        <v>0.54157616262879438</v>
      </c>
      <c r="V121" s="222">
        <f t="shared" si="166"/>
        <v>0.39789269091095092</v>
      </c>
      <c r="W121" s="202">
        <f t="shared" si="167"/>
        <v>350</v>
      </c>
      <c r="X121" s="452">
        <f t="shared" si="168"/>
        <v>350</v>
      </c>
      <c r="Z121" s="222">
        <f t="shared" si="169"/>
        <v>2.1176470588235294</v>
      </c>
      <c r="AA121" s="178">
        <f t="shared" si="170"/>
        <v>1.2100840336134453</v>
      </c>
      <c r="AB121" s="178">
        <f t="shared" si="171"/>
        <v>0.27596486558424271</v>
      </c>
      <c r="AC121" s="178"/>
      <c r="AD121" s="178">
        <f t="shared" si="172"/>
        <v>0.46857142857142853</v>
      </c>
      <c r="AE121" s="560">
        <f t="shared" si="173"/>
        <v>458.06067816775737</v>
      </c>
      <c r="AF121" s="543">
        <f t="shared" si="174"/>
        <v>6.723999999999998E-2</v>
      </c>
      <c r="AH121" s="178">
        <f t="shared" si="175"/>
        <v>1.1835608672690274</v>
      </c>
      <c r="AI121" s="178">
        <f t="shared" si="176"/>
        <v>1.1835608672690274</v>
      </c>
      <c r="AJ121" s="178">
        <f t="shared" si="177"/>
        <v>1.4693043461252056</v>
      </c>
      <c r="AL121" s="560">
        <f t="shared" si="178"/>
        <v>88.000000000000014</v>
      </c>
      <c r="AM121" s="470">
        <f t="shared" si="179"/>
        <v>350</v>
      </c>
      <c r="AO121" s="470">
        <f t="shared" si="180"/>
        <v>88.000000000000014</v>
      </c>
      <c r="AP121" s="470">
        <f t="shared" si="181"/>
        <v>350</v>
      </c>
      <c r="AR121" s="6">
        <f t="shared" si="132"/>
        <v>2.8571428571428572</v>
      </c>
      <c r="AS121" s="6">
        <f t="shared" si="211"/>
        <v>0.92054734120924353</v>
      </c>
      <c r="AT121" s="6">
        <f t="shared" si="212"/>
        <v>1.9365955159336137</v>
      </c>
      <c r="AU121" s="178">
        <f t="shared" si="213"/>
        <v>0.32219156942323524</v>
      </c>
      <c r="AW121" s="6">
        <f>L*Iout^2/(2*Vripple1_spec*Vout*Npri_sec1^2)*1000000000*((1+N121)/(1-N121))^2</f>
        <v>21.552126200274348</v>
      </c>
      <c r="AX121" s="6">
        <f>L*F121^2/(2*Cout*Vout*Nps^2)*1000000000*((1+N121)/(1-N121))^2+F121*RCoutEsr</f>
        <v>0.929823132825497</v>
      </c>
      <c r="AY121" s="6">
        <f>L*Iout2^2/(2*Vout_ripple2*Vout2*Npri_sec2^2)*1000000000*((1+N121)/(1-N121))^2</f>
        <v>8.4187992969821668</v>
      </c>
      <c r="AZ121" s="6">
        <f>L*G121^2/(2*Cout2*Vout2*Npri_sec2^2)*1000000000*((1+N121)/(1-N121))^2+G121*CoutEsr2</f>
        <v>0.42508716125995971</v>
      </c>
      <c r="BA121" s="6">
        <f>(H121+I121)/Efficiency/J121*AT121/Vinripple1</f>
        <v>0.57581943345758391</v>
      </c>
      <c r="BB121" s="6"/>
      <c r="BC121" s="6"/>
      <c r="BD121" s="178">
        <f t="shared" si="185"/>
        <v>0.38787077346224008</v>
      </c>
      <c r="BE121" s="178">
        <f t="shared" si="186"/>
        <v>0.56257891766756396</v>
      </c>
      <c r="BF121" s="178">
        <f t="shared" si="187"/>
        <v>0.35161182354222742</v>
      </c>
      <c r="BG121" s="178"/>
      <c r="BH121" s="543">
        <f t="shared" si="188"/>
        <v>1.65488110596816E-2</v>
      </c>
      <c r="BI121" s="543">
        <f t="shared" si="189"/>
        <v>4.401366975156696E-2</v>
      </c>
      <c r="BJ121" s="543">
        <f t="shared" si="190"/>
        <v>1.7499999999999998E-2</v>
      </c>
      <c r="BK121" s="543">
        <f t="shared" si="191"/>
        <v>3.5560546875000001E-2</v>
      </c>
      <c r="BL121">
        <f t="shared" si="192"/>
        <v>2.6099999999999999E-3</v>
      </c>
      <c r="BM121" s="470">
        <f t="shared" si="193"/>
        <v>116.23302768624856</v>
      </c>
      <c r="BN121" s="178">
        <f t="shared" si="194"/>
        <v>3.5200000000000002E-2</v>
      </c>
      <c r="BO121" s="178">
        <f t="shared" si="195"/>
        <v>2.2000000000000002E-2</v>
      </c>
      <c r="BP121" s="543"/>
      <c r="BR121" s="470">
        <f t="shared" si="196"/>
        <v>57.2</v>
      </c>
      <c r="BS121" s="543">
        <f t="shared" si="197"/>
        <v>6.0177494762478547E-3</v>
      </c>
      <c r="BT121" s="543">
        <f t="shared" si="198"/>
        <v>1.2659801544160307E-2</v>
      </c>
      <c r="BU121" s="543">
        <f t="shared" si="199"/>
        <v>3.708926233640714E-3</v>
      </c>
      <c r="BV121" s="543">
        <f t="shared" si="200"/>
        <v>0</v>
      </c>
      <c r="BW121" s="648">
        <f t="shared" si="201"/>
        <v>1.838571428571429E-2</v>
      </c>
      <c r="BX121" s="470">
        <f t="shared" si="202"/>
        <v>40.772191539763163</v>
      </c>
      <c r="BY121" s="178">
        <f t="shared" si="203"/>
        <v>0.21420521922601171</v>
      </c>
      <c r="BZ121" s="6">
        <f t="shared" si="204"/>
        <v>1.7160000000000002</v>
      </c>
      <c r="CA121" s="178">
        <f t="shared" si="205"/>
        <v>0.88902463992305159</v>
      </c>
      <c r="CB121" s="6">
        <f t="shared" si="206"/>
        <v>88.902463992305158</v>
      </c>
      <c r="CC121">
        <f t="shared" si="207"/>
        <v>11</v>
      </c>
      <c r="CE121" s="577">
        <f t="shared" si="208"/>
        <v>-50</v>
      </c>
      <c r="CF121">
        <f t="shared" si="209"/>
        <v>-50</v>
      </c>
    </row>
    <row r="122" spans="5:84" x14ac:dyDescent="0.2">
      <c r="E122" s="175">
        <v>12</v>
      </c>
      <c r="F122" s="222">
        <f t="shared" si="210"/>
        <v>9.6000000000000002E-2</v>
      </c>
      <c r="G122" s="222">
        <f t="shared" si="152"/>
        <v>0.06</v>
      </c>
      <c r="H122" s="222">
        <f t="shared" si="153"/>
        <v>1.1520000000000001</v>
      </c>
      <c r="I122" s="222">
        <f t="shared" si="154"/>
        <v>0.72</v>
      </c>
      <c r="J122" s="556">
        <f t="shared" si="155"/>
        <v>9</v>
      </c>
      <c r="K122" s="452">
        <f t="shared" si="156"/>
        <v>12.25</v>
      </c>
      <c r="L122" s="452">
        <f t="shared" si="157"/>
        <v>21.25</v>
      </c>
      <c r="M122" s="452"/>
      <c r="N122" s="222">
        <f t="shared" si="158"/>
        <v>0.57647058823529407</v>
      </c>
      <c r="O122" s="177">
        <f t="shared" si="159"/>
        <v>6.2179004524886858</v>
      </c>
      <c r="P122" s="177">
        <f t="shared" si="160"/>
        <v>6.3150551470588203</v>
      </c>
      <c r="Q122" s="222">
        <f t="shared" si="161"/>
        <v>0.51815837104072382</v>
      </c>
      <c r="R122" s="222">
        <f t="shared" si="162"/>
        <v>0.51815837104072382</v>
      </c>
      <c r="S122" s="222">
        <f t="shared" si="163"/>
        <v>12</v>
      </c>
      <c r="T122" s="222">
        <f t="shared" si="164"/>
        <v>0.7596133190118155</v>
      </c>
      <c r="U122" s="222">
        <f t="shared" si="165"/>
        <v>0.59081035923141201</v>
      </c>
      <c r="V122" s="222">
        <f t="shared" si="166"/>
        <v>0.43406475372103742</v>
      </c>
      <c r="W122" s="202">
        <f t="shared" si="167"/>
        <v>350</v>
      </c>
      <c r="X122" s="452">
        <f t="shared" si="168"/>
        <v>350</v>
      </c>
      <c r="Z122" s="222">
        <f t="shared" si="169"/>
        <v>2.1176470588235294</v>
      </c>
      <c r="AA122" s="178">
        <f t="shared" si="170"/>
        <v>1.2100840336134453</v>
      </c>
      <c r="AB122" s="178">
        <f t="shared" si="171"/>
        <v>0.27596486558424271</v>
      </c>
      <c r="AC122" s="178"/>
      <c r="AD122" s="178">
        <f t="shared" si="172"/>
        <v>0.46857142857142853</v>
      </c>
      <c r="AE122" s="560">
        <f t="shared" si="173"/>
        <v>499.70255800118991</v>
      </c>
      <c r="AF122" s="543">
        <f t="shared" si="174"/>
        <v>6.723999999999998E-2</v>
      </c>
      <c r="AH122" s="178">
        <f t="shared" si="175"/>
        <v>1.2361890087305105</v>
      </c>
      <c r="AI122" s="178">
        <f t="shared" si="176"/>
        <v>1.2361890087305105</v>
      </c>
      <c r="AJ122" s="178">
        <f t="shared" si="177"/>
        <v>1.5082881546151929</v>
      </c>
      <c r="AL122" s="560">
        <f t="shared" si="178"/>
        <v>96</v>
      </c>
      <c r="AM122" s="470">
        <f t="shared" si="179"/>
        <v>350</v>
      </c>
      <c r="AO122" s="470">
        <f t="shared" si="180"/>
        <v>96</v>
      </c>
      <c r="AP122" s="470">
        <f t="shared" si="181"/>
        <v>350</v>
      </c>
      <c r="AR122" s="6">
        <f t="shared" si="132"/>
        <v>2.8571428571428572</v>
      </c>
      <c r="AS122" s="6">
        <f t="shared" si="211"/>
        <v>0.9614803401237304</v>
      </c>
      <c r="AT122" s="6">
        <f t="shared" si="212"/>
        <v>1.8956625170191268</v>
      </c>
      <c r="AU122" s="178">
        <f t="shared" si="213"/>
        <v>0.33651811904330564</v>
      </c>
      <c r="AW122" s="6">
        <f>L*Iout^2/(2*Vripple1_spec*Vout*Npri_sec1^2)*1000000000*((1+N122)/(1-N122))^2</f>
        <v>21.552126200274348</v>
      </c>
      <c r="AX122" s="6">
        <f>L*F122^2/(2*Cout*Vout*Nps^2)*1000000000*((1+N122)/(1-N122))^2+F122*RCoutEsr</f>
        <v>1.0803845547675335</v>
      </c>
      <c r="AY122" s="6">
        <f>L*Iout2^2/(2*Vout_ripple2*Vout2*Npri_sec2^2)*1000000000*((1+N122)/(1-N122))^2</f>
        <v>8.4187992969821668</v>
      </c>
      <c r="AZ122" s="6">
        <f>L*G122^2/(2*Cout2*Vout2*Npri_sec2^2)*1000000000*((1+N122)/(1-N122))^2+G122*CoutEsr2</f>
        <v>0.48952521670606769</v>
      </c>
      <c r="BA122" s="6">
        <f>(H122+I122)/Efficiency/J122*AT122/Vinripple1</f>
        <v>0.61488936224558033</v>
      </c>
      <c r="BB122" s="6"/>
      <c r="BC122" s="6"/>
      <c r="BD122" s="178">
        <f t="shared" si="185"/>
        <v>0.41402682184929845</v>
      </c>
      <c r="BE122" s="178">
        <f t="shared" si="186"/>
        <v>0.58135148223033717</v>
      </c>
      <c r="BF122" s="178">
        <f t="shared" si="187"/>
        <v>0.36334467639396067</v>
      </c>
      <c r="BG122" s="178"/>
      <c r="BH122" s="543">
        <f t="shared" si="188"/>
        <v>1.8856003013169378E-2</v>
      </c>
      <c r="BI122" s="543">
        <f t="shared" si="189"/>
        <v>4.5970778762165855E-2</v>
      </c>
      <c r="BJ122" s="543">
        <f t="shared" si="190"/>
        <v>1.7499999999999998E-2</v>
      </c>
      <c r="BK122" s="543">
        <f t="shared" si="191"/>
        <v>3.5560546875000001E-2</v>
      </c>
      <c r="BL122">
        <f t="shared" si="192"/>
        <v>2.6099999999999999E-3</v>
      </c>
      <c r="BM122" s="470">
        <f t="shared" si="193"/>
        <v>120.49732865033525</v>
      </c>
      <c r="BN122" s="178">
        <f t="shared" si="194"/>
        <v>3.8400000000000004E-2</v>
      </c>
      <c r="BO122" s="178">
        <f t="shared" si="195"/>
        <v>2.4E-2</v>
      </c>
      <c r="BP122" s="543"/>
      <c r="BR122" s="470">
        <f t="shared" si="196"/>
        <v>62.400000000000006</v>
      </c>
      <c r="BS122" s="543">
        <f t="shared" si="197"/>
        <v>6.856728368425229E-3</v>
      </c>
      <c r="BT122" s="543">
        <f t="shared" si="198"/>
        <v>1.3518781835656402E-2</v>
      </c>
      <c r="BU122" s="543">
        <f t="shared" si="199"/>
        <v>3.9605806159149605E-3</v>
      </c>
      <c r="BV122" s="543">
        <f t="shared" si="200"/>
        <v>0</v>
      </c>
      <c r="BW122" s="648">
        <f t="shared" si="201"/>
        <v>2.0057142857142853E-2</v>
      </c>
      <c r="BX122" s="470">
        <f t="shared" si="202"/>
        <v>44.393233677139449</v>
      </c>
      <c r="BY122" s="178">
        <f t="shared" si="203"/>
        <v>0.22729056232747469</v>
      </c>
      <c r="BZ122" s="6">
        <f t="shared" si="204"/>
        <v>1.8720000000000001</v>
      </c>
      <c r="CA122" s="178">
        <f t="shared" si="205"/>
        <v>0.8917298222522001</v>
      </c>
      <c r="CB122" s="6">
        <f t="shared" si="206"/>
        <v>89.172982225220011</v>
      </c>
      <c r="CC122">
        <f t="shared" si="207"/>
        <v>12</v>
      </c>
      <c r="CE122" s="577">
        <f t="shared" si="208"/>
        <v>-50</v>
      </c>
      <c r="CF122">
        <f t="shared" si="209"/>
        <v>-50</v>
      </c>
    </row>
    <row r="123" spans="5:84" x14ac:dyDescent="0.2">
      <c r="E123" s="175">
        <v>13</v>
      </c>
      <c r="F123" s="222">
        <f t="shared" si="210"/>
        <v>0.10400000000000001</v>
      </c>
      <c r="G123" s="222">
        <f t="shared" si="152"/>
        <v>6.5000000000000002E-2</v>
      </c>
      <c r="H123" s="222">
        <f t="shared" si="153"/>
        <v>1.2480000000000002</v>
      </c>
      <c r="I123" s="222">
        <f t="shared" si="154"/>
        <v>0.78</v>
      </c>
      <c r="J123" s="556">
        <f t="shared" si="155"/>
        <v>9</v>
      </c>
      <c r="K123" s="452">
        <f t="shared" si="156"/>
        <v>12.25</v>
      </c>
      <c r="L123" s="452">
        <f t="shared" si="157"/>
        <v>21.25</v>
      </c>
      <c r="M123" s="452"/>
      <c r="N123" s="222">
        <f t="shared" si="158"/>
        <v>0.57647058823529407</v>
      </c>
      <c r="O123" s="177">
        <f t="shared" si="159"/>
        <v>6.2179004524886858</v>
      </c>
      <c r="P123" s="177">
        <f t="shared" si="160"/>
        <v>6.3150551470588203</v>
      </c>
      <c r="Q123" s="222">
        <f t="shared" si="161"/>
        <v>0.51815837104072382</v>
      </c>
      <c r="R123" s="222">
        <f t="shared" si="162"/>
        <v>0.51815837104072382</v>
      </c>
      <c r="S123" s="222">
        <f t="shared" si="163"/>
        <v>12</v>
      </c>
      <c r="T123" s="222">
        <f t="shared" si="164"/>
        <v>0.82291442892946687</v>
      </c>
      <c r="U123" s="222">
        <f t="shared" si="165"/>
        <v>0.64004455583402975</v>
      </c>
      <c r="V123" s="222">
        <f t="shared" si="166"/>
        <v>0.47023681653112392</v>
      </c>
      <c r="W123" s="202">
        <f t="shared" si="167"/>
        <v>350</v>
      </c>
      <c r="X123" s="452">
        <f t="shared" si="168"/>
        <v>350</v>
      </c>
      <c r="Z123" s="222">
        <f t="shared" si="169"/>
        <v>2.1176470588235294</v>
      </c>
      <c r="AA123" s="178">
        <f t="shared" si="170"/>
        <v>1.2100840336134453</v>
      </c>
      <c r="AB123" s="178">
        <f t="shared" si="171"/>
        <v>0.27596486558424271</v>
      </c>
      <c r="AC123" s="178"/>
      <c r="AD123" s="178">
        <f t="shared" si="172"/>
        <v>0.46857142857142853</v>
      </c>
      <c r="AE123" s="560">
        <f t="shared" si="173"/>
        <v>541.34443783462245</v>
      </c>
      <c r="AF123" s="543">
        <f t="shared" si="174"/>
        <v>6.723999999999998E-2</v>
      </c>
      <c r="AH123" s="178">
        <f t="shared" si="175"/>
        <v>1.2866663141940233</v>
      </c>
      <c r="AI123" s="178">
        <f t="shared" si="176"/>
        <v>1.2866663141940233</v>
      </c>
      <c r="AJ123" s="178">
        <f t="shared" si="177"/>
        <v>1.545678751254832</v>
      </c>
      <c r="AL123" s="560">
        <f t="shared" si="178"/>
        <v>104.00000000000001</v>
      </c>
      <c r="AM123" s="470">
        <f t="shared" si="179"/>
        <v>350</v>
      </c>
      <c r="AO123" s="470">
        <f t="shared" si="180"/>
        <v>104.00000000000001</v>
      </c>
      <c r="AP123" s="470">
        <f t="shared" si="181"/>
        <v>350</v>
      </c>
      <c r="AR123" s="6">
        <f t="shared" si="132"/>
        <v>2.8571428571428572</v>
      </c>
      <c r="AS123" s="6">
        <f t="shared" si="211"/>
        <v>1.0007404665953517</v>
      </c>
      <c r="AT123" s="6">
        <f t="shared" si="212"/>
        <v>1.8564023905475056</v>
      </c>
      <c r="AU123" s="178">
        <f t="shared" si="213"/>
        <v>0.35025916330837309</v>
      </c>
      <c r="AW123" s="6">
        <f>L*Iout^2/(2*Vripple1_spec*Vout*Npri_sec1^2)*1000000000*((1+N123)/(1-N123))^2</f>
        <v>21.552126200274348</v>
      </c>
      <c r="AX123" s="6">
        <f>L*F123^2/(2*Cout*Vout*Nps^2)*1000000000*((1+N123)/(1-N123))^2+F123*RCoutEsr</f>
        <v>1.2419513177480082</v>
      </c>
      <c r="AY123" s="6">
        <f>L*Iout2^2/(2*Vout_ripple2*Vout2*Npri_sec2^2)*1000000000*((1+N123)/(1-N123))^2</f>
        <v>8.4187992969821668</v>
      </c>
      <c r="AZ123" s="6">
        <f>L*G123^2/(2*Cout2*Vout2*Npri_sec2^2)*1000000000*((1+N123)/(1-N123))^2+G123*CoutEsr2</f>
        <v>0.55826223349531556</v>
      </c>
      <c r="BA123" s="6">
        <f>(H123+I123)/Efficiency/J123*AT123/Vinripple1</f>
        <v>0.65233425133729128</v>
      </c>
      <c r="BB123" s="6"/>
      <c r="BC123" s="6"/>
      <c r="BD123" s="178">
        <f t="shared" si="185"/>
        <v>0.43964289255792854</v>
      </c>
      <c r="BE123" s="178">
        <f t="shared" si="186"/>
        <v>0.59879116703336188</v>
      </c>
      <c r="BF123" s="178">
        <f t="shared" si="187"/>
        <v>0.37424447939585109</v>
      </c>
      <c r="BG123" s="178"/>
      <c r="BH123" s="543">
        <f t="shared" si="188"/>
        <v>2.1261446027437254E-2</v>
      </c>
      <c r="BI123" s="543">
        <f t="shared" si="189"/>
        <v>4.7847903559090244E-2</v>
      </c>
      <c r="BJ123" s="543">
        <f t="shared" si="190"/>
        <v>1.7499999999999998E-2</v>
      </c>
      <c r="BK123" s="543">
        <f t="shared" si="191"/>
        <v>3.5560546875000001E-2</v>
      </c>
      <c r="BL123">
        <f t="shared" si="192"/>
        <v>2.6099999999999999E-3</v>
      </c>
      <c r="BM123" s="470">
        <f t="shared" si="193"/>
        <v>124.7798964615275</v>
      </c>
      <c r="BN123" s="178">
        <f t="shared" si="194"/>
        <v>4.1600000000000005E-2</v>
      </c>
      <c r="BO123" s="178">
        <f t="shared" si="195"/>
        <v>2.6000000000000002E-2</v>
      </c>
      <c r="BP123" s="543"/>
      <c r="BR123" s="470">
        <f t="shared" si="196"/>
        <v>67.600000000000009</v>
      </c>
      <c r="BS123" s="543">
        <f t="shared" si="197"/>
        <v>7.7314349190680922E-3</v>
      </c>
      <c r="BT123" s="543">
        <f t="shared" si="198"/>
        <v>1.434203446868702E-2</v>
      </c>
      <c r="BU123" s="543">
        <f t="shared" si="199"/>
        <v>4.2017679107481483E-3</v>
      </c>
      <c r="BV123" s="543">
        <f t="shared" si="200"/>
        <v>0</v>
      </c>
      <c r="BW123" s="648">
        <f t="shared" si="201"/>
        <v>2.1728571428571437E-2</v>
      </c>
      <c r="BX123" s="470">
        <f t="shared" si="202"/>
        <v>48.003808727074698</v>
      </c>
      <c r="BY123" s="178">
        <f t="shared" si="203"/>
        <v>0.24038370518860216</v>
      </c>
      <c r="BZ123" s="6">
        <f t="shared" si="204"/>
        <v>2.0280000000000005</v>
      </c>
      <c r="CA123" s="178">
        <f t="shared" si="205"/>
        <v>0.8940286404637986</v>
      </c>
      <c r="CB123" s="6">
        <f t="shared" si="206"/>
        <v>89.402864046379861</v>
      </c>
      <c r="CC123">
        <f t="shared" si="207"/>
        <v>13</v>
      </c>
      <c r="CE123" s="577">
        <f t="shared" si="208"/>
        <v>-50</v>
      </c>
      <c r="CF123">
        <f t="shared" si="209"/>
        <v>-50</v>
      </c>
    </row>
    <row r="124" spans="5:84" x14ac:dyDescent="0.2">
      <c r="E124" s="175">
        <v>14</v>
      </c>
      <c r="F124" s="222">
        <f t="shared" si="210"/>
        <v>0.11200000000000002</v>
      </c>
      <c r="G124" s="222">
        <f t="shared" si="152"/>
        <v>7.0000000000000007E-2</v>
      </c>
      <c r="H124" s="222">
        <f t="shared" si="153"/>
        <v>1.3440000000000003</v>
      </c>
      <c r="I124" s="222">
        <f t="shared" si="154"/>
        <v>0.84000000000000008</v>
      </c>
      <c r="J124" s="556">
        <f t="shared" si="155"/>
        <v>9</v>
      </c>
      <c r="K124" s="452">
        <f t="shared" si="156"/>
        <v>12.25</v>
      </c>
      <c r="L124" s="452">
        <f t="shared" si="157"/>
        <v>21.25</v>
      </c>
      <c r="M124" s="452"/>
      <c r="N124" s="222">
        <f t="shared" si="158"/>
        <v>0.57647058823529407</v>
      </c>
      <c r="O124" s="177">
        <f t="shared" si="159"/>
        <v>6.2179004524886858</v>
      </c>
      <c r="P124" s="177">
        <f t="shared" si="160"/>
        <v>6.3150551470588203</v>
      </c>
      <c r="Q124" s="222">
        <f t="shared" si="161"/>
        <v>0.51815837104072382</v>
      </c>
      <c r="R124" s="222">
        <f t="shared" si="162"/>
        <v>0.51815837104072382</v>
      </c>
      <c r="S124" s="222">
        <f t="shared" si="163"/>
        <v>12</v>
      </c>
      <c r="T124" s="222">
        <f t="shared" si="164"/>
        <v>0.88621553884711801</v>
      </c>
      <c r="U124" s="222">
        <f t="shared" si="165"/>
        <v>0.68927875243664727</v>
      </c>
      <c r="V124" s="222">
        <f t="shared" si="166"/>
        <v>0.50640887934121026</v>
      </c>
      <c r="W124" s="202">
        <f t="shared" si="167"/>
        <v>350</v>
      </c>
      <c r="X124" s="452">
        <f t="shared" si="168"/>
        <v>350</v>
      </c>
      <c r="Z124" s="222">
        <f t="shared" si="169"/>
        <v>2.1176470588235294</v>
      </c>
      <c r="AA124" s="178">
        <f t="shared" si="170"/>
        <v>1.2100840336134453</v>
      </c>
      <c r="AB124" s="178">
        <f t="shared" si="171"/>
        <v>0.27596486558424271</v>
      </c>
      <c r="AC124" s="178"/>
      <c r="AD124" s="178">
        <f t="shared" si="172"/>
        <v>0.46857142857142853</v>
      </c>
      <c r="AE124" s="560">
        <f t="shared" si="173"/>
        <v>582.98631766805499</v>
      </c>
      <c r="AF124" s="543">
        <f t="shared" si="174"/>
        <v>6.723999999999998E-2</v>
      </c>
      <c r="AH124" s="178">
        <f t="shared" si="175"/>
        <v>1.3352367366340483</v>
      </c>
      <c r="AI124" s="178">
        <f t="shared" si="176"/>
        <v>1.3352367366340483</v>
      </c>
      <c r="AJ124" s="178">
        <f t="shared" si="177"/>
        <v>1.5816568419511468</v>
      </c>
      <c r="AL124" s="560">
        <f t="shared" si="178"/>
        <v>112.00000000000001</v>
      </c>
      <c r="AM124" s="470">
        <f t="shared" si="179"/>
        <v>350</v>
      </c>
      <c r="AO124" s="470">
        <f t="shared" si="180"/>
        <v>112.00000000000001</v>
      </c>
      <c r="AP124" s="470">
        <f t="shared" si="181"/>
        <v>350</v>
      </c>
      <c r="AR124" s="6">
        <f t="shared" si="132"/>
        <v>2.8571428571428572</v>
      </c>
      <c r="AS124" s="6">
        <f t="shared" si="211"/>
        <v>1.0385174618264821</v>
      </c>
      <c r="AT124" s="6">
        <f t="shared" si="212"/>
        <v>1.8186253953163751</v>
      </c>
      <c r="AU124" s="178">
        <f t="shared" si="213"/>
        <v>0.36348111163926872</v>
      </c>
      <c r="AW124" s="6">
        <f>L*Iout^2/(2*Vripple1_spec*Vout*Npri_sec1^2)*1000000000*((1+N124)/(1-N124))^2</f>
        <v>21.552126200274348</v>
      </c>
      <c r="AX124" s="6">
        <f>L*F124^2/(2*Cout*Vout*Nps^2)*1000000000*((1+N124)/(1-N124))^2+F124*RCoutEsr</f>
        <v>1.4145234217669209</v>
      </c>
      <c r="AY124" s="6">
        <f>L*Iout2^2/(2*Vout_ripple2*Vout2*Npri_sec2^2)*1000000000*((1+N124)/(1-N124))^2</f>
        <v>8.4187992969821668</v>
      </c>
      <c r="AZ124" s="6">
        <f>L*G124^2/(2*Cout2*Vout2*Npri_sec2^2)*1000000000*((1+N124)/(1-N124))^2+G124*CoutEsr2</f>
        <v>0.63129821162770328</v>
      </c>
      <c r="BA124" s="6">
        <f>(H124+I124)/Efficiency/J124*AT124/Vinripple1</f>
        <v>0.68821795336728842</v>
      </c>
      <c r="BB124" s="6"/>
      <c r="BC124" s="6"/>
      <c r="BD124" s="178">
        <f t="shared" si="185"/>
        <v>0.46477051548039089</v>
      </c>
      <c r="BE124" s="178">
        <f t="shared" si="186"/>
        <v>0.61503990295411404</v>
      </c>
      <c r="BF124" s="178">
        <f t="shared" si="187"/>
        <v>0.38439993934632122</v>
      </c>
      <c r="BG124" s="178"/>
      <c r="BH124" s="543">
        <f t="shared" si="188"/>
        <v>2.3761279526589907E-2</v>
      </c>
      <c r="BI124" s="543">
        <f t="shared" si="189"/>
        <v>4.9654116143578675E-2</v>
      </c>
      <c r="BJ124" s="543">
        <f t="shared" si="190"/>
        <v>1.7499999999999998E-2</v>
      </c>
      <c r="BK124" s="543">
        <f t="shared" si="191"/>
        <v>3.5560546875000001E-2</v>
      </c>
      <c r="BL124">
        <f t="shared" si="192"/>
        <v>2.6099999999999999E-3</v>
      </c>
      <c r="BM124" s="470">
        <f t="shared" si="193"/>
        <v>129.08594254516859</v>
      </c>
      <c r="BN124" s="178">
        <f t="shared" si="194"/>
        <v>4.4800000000000006E-2</v>
      </c>
      <c r="BO124" s="178">
        <f t="shared" si="195"/>
        <v>2.8000000000000004E-2</v>
      </c>
      <c r="BP124" s="543"/>
      <c r="BR124" s="470">
        <f t="shared" si="196"/>
        <v>72.8</v>
      </c>
      <c r="BS124" s="543">
        <f t="shared" si="197"/>
        <v>8.6404652823963302E-3</v>
      </c>
      <c r="BT124" s="543">
        <f t="shared" si="198"/>
        <v>1.513096328903224E-2</v>
      </c>
      <c r="BU124" s="543">
        <f t="shared" si="199"/>
        <v>4.4328994010836625E-3</v>
      </c>
      <c r="BV124" s="543">
        <f t="shared" si="200"/>
        <v>0</v>
      </c>
      <c r="BW124" s="648">
        <f t="shared" si="201"/>
        <v>2.3400000000000004E-2</v>
      </c>
      <c r="BX124" s="470">
        <f t="shared" si="202"/>
        <v>51.604327972512237</v>
      </c>
      <c r="BY124" s="178">
        <f t="shared" si="203"/>
        <v>0.2534902705176808</v>
      </c>
      <c r="BZ124" s="6">
        <f t="shared" si="204"/>
        <v>2.1840000000000002</v>
      </c>
      <c r="CA124" s="178">
        <f t="shared" si="205"/>
        <v>0.89600357647218676</v>
      </c>
      <c r="CB124" s="6">
        <f t="shared" si="206"/>
        <v>89.600357647218672</v>
      </c>
      <c r="CC124">
        <f t="shared" si="207"/>
        <v>14.000000000000002</v>
      </c>
      <c r="CE124" s="577">
        <f t="shared" si="208"/>
        <v>-50</v>
      </c>
      <c r="CF124">
        <f t="shared" si="209"/>
        <v>-50</v>
      </c>
    </row>
    <row r="125" spans="5:84" x14ac:dyDescent="0.2">
      <c r="E125" s="175">
        <v>15</v>
      </c>
      <c r="F125" s="222">
        <f t="shared" si="210"/>
        <v>0.12</v>
      </c>
      <c r="G125" s="222">
        <f t="shared" si="152"/>
        <v>7.4999999999999997E-2</v>
      </c>
      <c r="H125" s="222">
        <f t="shared" si="153"/>
        <v>1.44</v>
      </c>
      <c r="I125" s="222">
        <f t="shared" si="154"/>
        <v>0.89999999999999991</v>
      </c>
      <c r="J125" s="556">
        <f t="shared" si="155"/>
        <v>9</v>
      </c>
      <c r="K125" s="452">
        <f t="shared" si="156"/>
        <v>12.25</v>
      </c>
      <c r="L125" s="452">
        <f t="shared" si="157"/>
        <v>21.25</v>
      </c>
      <c r="M125" s="452"/>
      <c r="N125" s="222">
        <f t="shared" si="158"/>
        <v>0.57647058823529407</v>
      </c>
      <c r="O125" s="177">
        <f t="shared" si="159"/>
        <v>6.2179004524886858</v>
      </c>
      <c r="P125" s="177">
        <f t="shared" si="160"/>
        <v>6.3150551470588203</v>
      </c>
      <c r="Q125" s="222">
        <f t="shared" si="161"/>
        <v>0.51815837104072382</v>
      </c>
      <c r="R125" s="222">
        <f t="shared" si="162"/>
        <v>0.51815837104072382</v>
      </c>
      <c r="S125" s="222">
        <f t="shared" si="163"/>
        <v>12</v>
      </c>
      <c r="T125" s="222">
        <f t="shared" si="164"/>
        <v>0.94951664876476916</v>
      </c>
      <c r="U125" s="222">
        <f t="shared" si="165"/>
        <v>0.73851294903926479</v>
      </c>
      <c r="V125" s="222">
        <f t="shared" si="166"/>
        <v>0.5425809421512966</v>
      </c>
      <c r="W125" s="202">
        <f t="shared" si="167"/>
        <v>350</v>
      </c>
      <c r="X125" s="452">
        <f t="shared" si="168"/>
        <v>350</v>
      </c>
      <c r="Z125" s="222">
        <f t="shared" si="169"/>
        <v>2.1176470588235294</v>
      </c>
      <c r="AA125" s="178">
        <f t="shared" si="170"/>
        <v>1.2100840336134453</v>
      </c>
      <c r="AB125" s="178">
        <f t="shared" si="171"/>
        <v>0.27596486558424271</v>
      </c>
      <c r="AC125" s="178"/>
      <c r="AD125" s="178">
        <f t="shared" si="172"/>
        <v>0.46857142857142853</v>
      </c>
      <c r="AE125" s="560">
        <f t="shared" si="173"/>
        <v>624.62819750148731</v>
      </c>
      <c r="AF125" s="543">
        <f t="shared" si="174"/>
        <v>6.723999999999998E-2</v>
      </c>
      <c r="AH125" s="178">
        <f t="shared" si="175"/>
        <v>1.3821013282797514</v>
      </c>
      <c r="AI125" s="178">
        <f t="shared" si="176"/>
        <v>1.3821013282797514</v>
      </c>
      <c r="AJ125" s="178">
        <f t="shared" si="177"/>
        <v>1.6163713542812974</v>
      </c>
      <c r="AL125" s="560">
        <f t="shared" si="178"/>
        <v>120</v>
      </c>
      <c r="AM125" s="470">
        <f t="shared" si="179"/>
        <v>350</v>
      </c>
      <c r="AO125" s="470">
        <f t="shared" si="180"/>
        <v>120</v>
      </c>
      <c r="AP125" s="470">
        <f t="shared" si="181"/>
        <v>350</v>
      </c>
      <c r="AR125" s="6">
        <f t="shared" si="132"/>
        <v>2.8571428571428572</v>
      </c>
      <c r="AS125" s="6">
        <f t="shared" si="211"/>
        <v>1.0749676997731401</v>
      </c>
      <c r="AT125" s="6">
        <f t="shared" si="212"/>
        <v>1.7821751573697171</v>
      </c>
      <c r="AU125" s="178">
        <f t="shared" si="213"/>
        <v>0.37623869492059903</v>
      </c>
      <c r="AW125" s="6">
        <f>L*Iout^2/(2*Vripple1_spec*Vout*Npri_sec1^2)*1000000000*((1+N125)/(1-N125))^2</f>
        <v>21.552126200274348</v>
      </c>
      <c r="AX125" s="6">
        <f>L*F125^2/(2*Cout*Vout*Nps^2)*1000000000*((1+N125)/(1-N125))^2+F125*RCoutEsr</f>
        <v>1.5981008668242707</v>
      </c>
      <c r="AY125" s="6">
        <f>L*Iout2^2/(2*Vout_ripple2*Vout2*Npri_sec2^2)*1000000000*((1+N125)/(1-N125))^2</f>
        <v>8.4187992969821668</v>
      </c>
      <c r="AZ125" s="6">
        <f>L*G125^2/(2*Cout2*Vout2*Npri_sec2^2)*1000000000*((1+N125)/(1-N125))^2+G125*CoutEsr2</f>
        <v>0.70863315110323077</v>
      </c>
      <c r="BA125" s="6">
        <f>(H125+I125)/Efficiency/J125*AT125/Vinripple1</f>
        <v>0.72259733476199051</v>
      </c>
      <c r="BB125" s="6"/>
      <c r="BC125" s="6"/>
      <c r="BD125" s="178">
        <f t="shared" si="185"/>
        <v>0.4894529908327836</v>
      </c>
      <c r="BE125" s="178">
        <f t="shared" si="186"/>
        <v>0.63021461712847793</v>
      </c>
      <c r="BF125" s="178">
        <f t="shared" si="187"/>
        <v>0.39388413570529862</v>
      </c>
      <c r="BG125" s="178"/>
      <c r="BH125" s="543">
        <f t="shared" si="188"/>
        <v>2.6352065325867265E-2</v>
      </c>
      <c r="BI125" s="543">
        <f t="shared" si="189"/>
        <v>5.1396893145403258E-2</v>
      </c>
      <c r="BJ125" s="543">
        <f t="shared" si="190"/>
        <v>1.7499999999999998E-2</v>
      </c>
      <c r="BK125" s="543">
        <f t="shared" si="191"/>
        <v>3.5560546875000001E-2</v>
      </c>
      <c r="BL125">
        <f t="shared" si="192"/>
        <v>2.6099999999999999E-3</v>
      </c>
      <c r="BM125" s="470">
        <f t="shared" si="193"/>
        <v>133.41950534627054</v>
      </c>
      <c r="BN125" s="178">
        <f t="shared" si="194"/>
        <v>4.8000000000000001E-2</v>
      </c>
      <c r="BO125" s="178">
        <f t="shared" si="195"/>
        <v>0.03</v>
      </c>
      <c r="BP125" s="543"/>
      <c r="BR125" s="470">
        <f t="shared" si="196"/>
        <v>78</v>
      </c>
      <c r="BS125" s="543">
        <f t="shared" si="197"/>
        <v>9.5825692094062779E-3</v>
      </c>
      <c r="BT125" s="543">
        <f t="shared" si="198"/>
        <v>1.588681854569576E-2</v>
      </c>
      <c r="BU125" s="543">
        <f t="shared" si="199"/>
        <v>4.6543413708093027E-3</v>
      </c>
      <c r="BV125" s="543">
        <f t="shared" si="200"/>
        <v>0</v>
      </c>
      <c r="BW125" s="648">
        <f t="shared" si="201"/>
        <v>2.5071428571428574E-2</v>
      </c>
      <c r="BX125" s="470">
        <f t="shared" si="202"/>
        <v>55.195157697339916</v>
      </c>
      <c r="BY125" s="178">
        <f t="shared" si="203"/>
        <v>0.26661466304361048</v>
      </c>
      <c r="BZ125" s="6">
        <f t="shared" si="204"/>
        <v>2.34</v>
      </c>
      <c r="CA125" s="178">
        <f t="shared" si="205"/>
        <v>0.89771611936982731</v>
      </c>
      <c r="CB125" s="6">
        <f t="shared" si="206"/>
        <v>89.771611936982737</v>
      </c>
      <c r="CC125">
        <f t="shared" si="207"/>
        <v>15</v>
      </c>
      <c r="CE125" s="577">
        <f t="shared" si="208"/>
        <v>-50</v>
      </c>
      <c r="CF125">
        <f t="shared" si="209"/>
        <v>-50</v>
      </c>
    </row>
    <row r="126" spans="5:84" x14ac:dyDescent="0.2">
      <c r="E126" s="175">
        <v>16</v>
      </c>
      <c r="F126" s="222">
        <f t="shared" si="210"/>
        <v>0.128</v>
      </c>
      <c r="G126" s="222">
        <f t="shared" si="152"/>
        <v>0.08</v>
      </c>
      <c r="H126" s="222">
        <f t="shared" si="153"/>
        <v>1.536</v>
      </c>
      <c r="I126" s="222">
        <f t="shared" si="154"/>
        <v>0.96</v>
      </c>
      <c r="J126" s="556">
        <f t="shared" si="155"/>
        <v>9</v>
      </c>
      <c r="K126" s="452">
        <f t="shared" si="156"/>
        <v>12.25</v>
      </c>
      <c r="L126" s="452">
        <f t="shared" si="157"/>
        <v>21.25</v>
      </c>
      <c r="M126" s="452"/>
      <c r="N126" s="222">
        <f t="shared" si="158"/>
        <v>0.57647058823529407</v>
      </c>
      <c r="O126" s="177">
        <f t="shared" si="159"/>
        <v>6.2179004524886858</v>
      </c>
      <c r="P126" s="177">
        <f t="shared" si="160"/>
        <v>6.3150551470588203</v>
      </c>
      <c r="Q126" s="222">
        <f t="shared" si="161"/>
        <v>0.51815837104072382</v>
      </c>
      <c r="R126" s="222">
        <f t="shared" si="162"/>
        <v>0.51815837104072382</v>
      </c>
      <c r="S126" s="222">
        <f t="shared" si="163"/>
        <v>12</v>
      </c>
      <c r="T126" s="222">
        <f t="shared" si="164"/>
        <v>1.0128177586824205</v>
      </c>
      <c r="U126" s="222">
        <f t="shared" si="165"/>
        <v>0.78774714564188264</v>
      </c>
      <c r="V126" s="222">
        <f t="shared" si="166"/>
        <v>0.57875300496138316</v>
      </c>
      <c r="W126" s="202">
        <f t="shared" si="167"/>
        <v>350</v>
      </c>
      <c r="X126" s="452">
        <f t="shared" si="168"/>
        <v>350</v>
      </c>
      <c r="Z126" s="222">
        <f t="shared" si="169"/>
        <v>2.1176470588235294</v>
      </c>
      <c r="AA126" s="178">
        <f t="shared" si="170"/>
        <v>1.2100840336134453</v>
      </c>
      <c r="AB126" s="178">
        <f t="shared" si="171"/>
        <v>0.27596486558424271</v>
      </c>
      <c r="AC126" s="178"/>
      <c r="AD126" s="178">
        <f t="shared" si="172"/>
        <v>0.46857142857142853</v>
      </c>
      <c r="AE126" s="560">
        <f t="shared" si="173"/>
        <v>666.27007733491985</v>
      </c>
      <c r="AF126" s="543">
        <f t="shared" si="174"/>
        <v>6.723999999999998E-2</v>
      </c>
      <c r="AH126" s="178">
        <f t="shared" si="175"/>
        <v>1.4274281139196339</v>
      </c>
      <c r="AI126" s="178">
        <f t="shared" si="176"/>
        <v>1.4274281139196339</v>
      </c>
      <c r="AJ126" s="178">
        <f t="shared" si="177"/>
        <v>1.6499467510515806</v>
      </c>
      <c r="AL126" s="560">
        <f t="shared" si="178"/>
        <v>128</v>
      </c>
      <c r="AM126" s="470">
        <f t="shared" si="179"/>
        <v>350</v>
      </c>
      <c r="AO126" s="470">
        <f t="shared" si="180"/>
        <v>128</v>
      </c>
      <c r="AP126" s="470">
        <f t="shared" si="181"/>
        <v>350</v>
      </c>
      <c r="AR126" s="6">
        <f t="shared" si="132"/>
        <v>2.8571428571428572</v>
      </c>
      <c r="AS126" s="6">
        <f t="shared" si="211"/>
        <v>1.1102218663819374</v>
      </c>
      <c r="AT126" s="6">
        <f t="shared" si="212"/>
        <v>1.7469209907609198</v>
      </c>
      <c r="AU126" s="178">
        <f t="shared" si="213"/>
        <v>0.3885776532336781</v>
      </c>
      <c r="AW126" s="6">
        <f>L*Iout^2/(2*Vripple1_spec*Vout*Npri_sec1^2)*1000000000*((1+N126)/(1-N126))^2</f>
        <v>21.552126200274348</v>
      </c>
      <c r="AX126" s="6">
        <f>L*F126^2/(2*Cout*Vout*Nps^2)*1000000000*((1+N126)/(1-N126))^2+F126*RCoutEsr</f>
        <v>1.7926836529200592</v>
      </c>
      <c r="AY126" s="6">
        <f>L*Iout2^2/(2*Vout_ripple2*Vout2*Npri_sec2^2)*1000000000*((1+N126)/(1-N126))^2</f>
        <v>8.4187992969821668</v>
      </c>
      <c r="AZ126" s="6">
        <f>L*G126^2/(2*Cout2*Vout2*Npri_sec2^2)*1000000000*((1+N126)/(1-N126))^2+G126*CoutEsr2</f>
        <v>0.79026705192189828</v>
      </c>
      <c r="BA126" s="6">
        <f>(H126+I126)/Efficiency/J126*AT126/Vinripple1</f>
        <v>0.75552346423032357</v>
      </c>
      <c r="BB126" s="6"/>
      <c r="BC126" s="6"/>
      <c r="BD126" s="178">
        <f t="shared" si="185"/>
        <v>0.5137271629487421</v>
      </c>
      <c r="BE126" s="178">
        <f t="shared" si="186"/>
        <v>0.64441296970035011</v>
      </c>
      <c r="BF126" s="178">
        <f t="shared" si="187"/>
        <v>0.40275810606271872</v>
      </c>
      <c r="BG126" s="178"/>
      <c r="BH126" s="543">
        <f t="shared" si="188"/>
        <v>2.9030715774649978E-2</v>
      </c>
      <c r="BI126" s="543">
        <f t="shared" si="189"/>
        <v>5.3082482986386383E-2</v>
      </c>
      <c r="BJ126" s="543">
        <f t="shared" si="190"/>
        <v>1.7499999999999998E-2</v>
      </c>
      <c r="BK126" s="543">
        <f t="shared" si="191"/>
        <v>3.5560546875000001E-2</v>
      </c>
      <c r="BL126">
        <f t="shared" si="192"/>
        <v>2.6099999999999999E-3</v>
      </c>
      <c r="BM126" s="470">
        <f t="shared" si="193"/>
        <v>137.78374563603634</v>
      </c>
      <c r="BN126" s="178">
        <f t="shared" si="194"/>
        <v>5.1200000000000002E-2</v>
      </c>
      <c r="BO126" s="178">
        <f t="shared" si="195"/>
        <v>3.2000000000000001E-2</v>
      </c>
      <c r="BP126" s="543"/>
      <c r="BR126" s="470">
        <f t="shared" si="196"/>
        <v>83.2</v>
      </c>
      <c r="BS126" s="543">
        <f t="shared" si="197"/>
        <v>1.0556623918054538E-2</v>
      </c>
      <c r="BT126" s="543">
        <f t="shared" si="198"/>
        <v>1.6610723020720974E-2</v>
      </c>
      <c r="BU126" s="543">
        <f t="shared" si="199"/>
        <v>4.8664227599768449E-3</v>
      </c>
      <c r="BV126" s="543">
        <f t="shared" si="200"/>
        <v>0</v>
      </c>
      <c r="BW126" s="648">
        <f t="shared" si="201"/>
        <v>2.6742857142857148E-2</v>
      </c>
      <c r="BX126" s="470">
        <f t="shared" si="202"/>
        <v>58.776626841609506</v>
      </c>
      <c r="BY126" s="178">
        <f t="shared" si="203"/>
        <v>0.27976037247764585</v>
      </c>
      <c r="BZ126" s="6">
        <f t="shared" si="204"/>
        <v>2.496</v>
      </c>
      <c r="CA126" s="178">
        <f t="shared" si="205"/>
        <v>0.89921306779521037</v>
      </c>
      <c r="CB126" s="6">
        <f t="shared" si="206"/>
        <v>89.921306779521032</v>
      </c>
      <c r="CC126">
        <f t="shared" si="207"/>
        <v>16</v>
      </c>
      <c r="CE126" s="577">
        <f t="shared" si="208"/>
        <v>-50</v>
      </c>
      <c r="CF126">
        <f t="shared" si="209"/>
        <v>-50</v>
      </c>
    </row>
    <row r="127" spans="5:84" x14ac:dyDescent="0.2">
      <c r="E127" s="175">
        <v>17</v>
      </c>
      <c r="F127" s="222">
        <f t="shared" si="210"/>
        <v>0.13600000000000001</v>
      </c>
      <c r="G127" s="222">
        <f t="shared" si="152"/>
        <v>8.5000000000000006E-2</v>
      </c>
      <c r="H127" s="222">
        <f t="shared" si="153"/>
        <v>1.6320000000000001</v>
      </c>
      <c r="I127" s="222">
        <f t="shared" si="154"/>
        <v>1.02</v>
      </c>
      <c r="J127" s="556">
        <f t="shared" si="155"/>
        <v>9</v>
      </c>
      <c r="K127" s="452">
        <f t="shared" si="156"/>
        <v>12.25</v>
      </c>
      <c r="L127" s="452">
        <f t="shared" si="157"/>
        <v>21.25</v>
      </c>
      <c r="M127" s="452"/>
      <c r="N127" s="222">
        <f t="shared" si="158"/>
        <v>0.57647058823529407</v>
      </c>
      <c r="O127" s="177">
        <f t="shared" si="159"/>
        <v>6.2179004524886858</v>
      </c>
      <c r="P127" s="177">
        <f t="shared" si="160"/>
        <v>6.3150551470588203</v>
      </c>
      <c r="Q127" s="222">
        <f t="shared" si="161"/>
        <v>0.51815837104072382</v>
      </c>
      <c r="R127" s="222">
        <f t="shared" si="162"/>
        <v>0.51815837104072382</v>
      </c>
      <c r="S127" s="222">
        <f t="shared" si="163"/>
        <v>12</v>
      </c>
      <c r="T127" s="222">
        <f t="shared" si="164"/>
        <v>1.0761188686000718</v>
      </c>
      <c r="U127" s="222">
        <f t="shared" si="165"/>
        <v>0.83698134224450027</v>
      </c>
      <c r="V127" s="222">
        <f t="shared" si="166"/>
        <v>0.6149250677714696</v>
      </c>
      <c r="W127" s="202">
        <f t="shared" si="167"/>
        <v>350</v>
      </c>
      <c r="X127" s="452">
        <f t="shared" si="168"/>
        <v>350</v>
      </c>
      <c r="Z127" s="222">
        <f t="shared" si="169"/>
        <v>2.1176470588235294</v>
      </c>
      <c r="AA127" s="178">
        <f t="shared" si="170"/>
        <v>1.2100840336134453</v>
      </c>
      <c r="AB127" s="178">
        <f t="shared" si="171"/>
        <v>0.27596486558424271</v>
      </c>
      <c r="AC127" s="178"/>
      <c r="AD127" s="178">
        <f t="shared" si="172"/>
        <v>0.46857142857142853</v>
      </c>
      <c r="AE127" s="560">
        <f t="shared" si="173"/>
        <v>707.91195716835227</v>
      </c>
      <c r="AF127" s="543">
        <f t="shared" si="174"/>
        <v>6.723999999999998E-2</v>
      </c>
      <c r="AH127" s="178">
        <f t="shared" si="175"/>
        <v>1.4713592216667122</v>
      </c>
      <c r="AI127" s="178">
        <f t="shared" si="176"/>
        <v>1.4713592216667122</v>
      </c>
      <c r="AJ127" s="178">
        <f t="shared" si="177"/>
        <v>1.6824883123457126</v>
      </c>
      <c r="AL127" s="560">
        <f t="shared" si="178"/>
        <v>136</v>
      </c>
      <c r="AM127" s="470">
        <f t="shared" si="179"/>
        <v>350</v>
      </c>
      <c r="AO127" s="470">
        <f t="shared" si="180"/>
        <v>136</v>
      </c>
      <c r="AP127" s="470">
        <f t="shared" si="181"/>
        <v>350</v>
      </c>
      <c r="AR127" s="6">
        <f t="shared" si="132"/>
        <v>2.8571428571428572</v>
      </c>
      <c r="AS127" s="6">
        <f t="shared" si="211"/>
        <v>1.1443905057407762</v>
      </c>
      <c r="AT127" s="6">
        <f t="shared" si="212"/>
        <v>1.712752351402081</v>
      </c>
      <c r="AU127" s="178">
        <f t="shared" si="213"/>
        <v>0.40053667700927165</v>
      </c>
      <c r="AW127" s="6">
        <f>L*Iout^2/(2*Vripple1_spec*Vout*Npri_sec1^2)*1000000000*((1+N127)/(1-N127))^2</f>
        <v>21.552126200274348</v>
      </c>
      <c r="AX127" s="6">
        <f>L*F127^2/(2*Cout*Vout*Nps^2)*1000000000*((1+N127)/(1-N127))^2+F127*RCoutEsr</f>
        <v>1.998271780054286</v>
      </c>
      <c r="AY127" s="6">
        <f>L*Iout2^2/(2*Vout_ripple2*Vout2*Npri_sec2^2)*1000000000*((1+N127)/(1-N127))^2</f>
        <v>8.4187992969821668</v>
      </c>
      <c r="AZ127" s="6">
        <f>L*G127^2/(2*Cout2*Vout2*Npri_sec2^2)*1000000000*((1+N127)/(1-N127))^2+G127*CoutEsr2</f>
        <v>0.87619991408370546</v>
      </c>
      <c r="BA127" s="6">
        <f>(H127+I127)/Efficiency/J127*AT127/Vinripple1</f>
        <v>0.78704253600490703</v>
      </c>
      <c r="BB127" s="6"/>
      <c r="BC127" s="6"/>
      <c r="BD127" s="178">
        <f t="shared" si="185"/>
        <v>0.53762472495089675</v>
      </c>
      <c r="BE127" s="178">
        <f t="shared" si="186"/>
        <v>0.65771749876576713</v>
      </c>
      <c r="BF127" s="178">
        <f t="shared" si="187"/>
        <v>0.41107343672860436</v>
      </c>
      <c r="BG127" s="178"/>
      <c r="BH127" s="543">
        <f t="shared" si="188"/>
        <v>3.1794437936638012E-2</v>
      </c>
      <c r="BI127" s="543">
        <f t="shared" si="189"/>
        <v>5.4716171055730858E-2</v>
      </c>
      <c r="BJ127" s="543">
        <f t="shared" si="190"/>
        <v>1.7499999999999998E-2</v>
      </c>
      <c r="BK127" s="543">
        <f t="shared" si="191"/>
        <v>3.5560546875000001E-2</v>
      </c>
      <c r="BL127">
        <f t="shared" si="192"/>
        <v>2.6099999999999999E-3</v>
      </c>
      <c r="BM127" s="470">
        <f t="shared" si="193"/>
        <v>142.18115586736889</v>
      </c>
      <c r="BN127" s="178">
        <f t="shared" si="194"/>
        <v>5.4400000000000004E-2</v>
      </c>
      <c r="BO127" s="178">
        <f t="shared" si="195"/>
        <v>3.4000000000000002E-2</v>
      </c>
      <c r="BP127" s="543"/>
      <c r="BR127" s="470">
        <f t="shared" si="196"/>
        <v>88.4</v>
      </c>
      <c r="BS127" s="543">
        <f t="shared" si="197"/>
        <v>1.1561613795141095E-2</v>
      </c>
      <c r="BT127" s="543">
        <f t="shared" si="198"/>
        <v>1.7303692327307878E-2</v>
      </c>
      <c r="BU127" s="543">
        <f t="shared" si="199"/>
        <v>5.0694411115159771E-3</v>
      </c>
      <c r="BV127" s="543">
        <f t="shared" si="200"/>
        <v>0</v>
      </c>
      <c r="BW127" s="648">
        <f t="shared" si="201"/>
        <v>2.8414285714285711E-2</v>
      </c>
      <c r="BX127" s="470">
        <f t="shared" si="202"/>
        <v>62.349032948250667</v>
      </c>
      <c r="BY127" s="178">
        <f t="shared" si="203"/>
        <v>0.29293018881561955</v>
      </c>
      <c r="BZ127" s="6">
        <f t="shared" si="204"/>
        <v>2.6520000000000001</v>
      </c>
      <c r="CA127" s="178">
        <f t="shared" si="205"/>
        <v>0.90053068492824639</v>
      </c>
      <c r="CB127" s="6">
        <f t="shared" si="206"/>
        <v>90.053068492824636</v>
      </c>
      <c r="CC127">
        <f t="shared" si="207"/>
        <v>17</v>
      </c>
      <c r="CE127" s="577">
        <f t="shared" si="208"/>
        <v>-50</v>
      </c>
      <c r="CF127">
        <f t="shared" si="209"/>
        <v>-50</v>
      </c>
    </row>
    <row r="128" spans="5:84" x14ac:dyDescent="0.2">
      <c r="E128" s="175">
        <v>18</v>
      </c>
      <c r="F128" s="222">
        <f t="shared" si="210"/>
        <v>0.14399999999999999</v>
      </c>
      <c r="G128" s="222">
        <f t="shared" si="152"/>
        <v>0.09</v>
      </c>
      <c r="H128" s="222">
        <f t="shared" si="153"/>
        <v>1.7279999999999998</v>
      </c>
      <c r="I128" s="222">
        <f t="shared" si="154"/>
        <v>1.08</v>
      </c>
      <c r="J128" s="556">
        <f t="shared" si="155"/>
        <v>9</v>
      </c>
      <c r="K128" s="452">
        <f t="shared" si="156"/>
        <v>12.25</v>
      </c>
      <c r="L128" s="452">
        <f t="shared" si="157"/>
        <v>21.25</v>
      </c>
      <c r="M128" s="452"/>
      <c r="N128" s="222">
        <f t="shared" si="158"/>
        <v>0.57647058823529407</v>
      </c>
      <c r="O128" s="177">
        <f t="shared" si="159"/>
        <v>6.2179004524886858</v>
      </c>
      <c r="P128" s="177">
        <f t="shared" si="160"/>
        <v>6.3150551470588203</v>
      </c>
      <c r="Q128" s="222">
        <f t="shared" si="161"/>
        <v>0.51815837104072382</v>
      </c>
      <c r="R128" s="222">
        <f t="shared" si="162"/>
        <v>0.51815837104072382</v>
      </c>
      <c r="S128" s="222">
        <f t="shared" si="163"/>
        <v>12</v>
      </c>
      <c r="T128" s="222">
        <f t="shared" si="164"/>
        <v>1.139419978517723</v>
      </c>
      <c r="U128" s="222">
        <f t="shared" si="165"/>
        <v>0.8862155388471179</v>
      </c>
      <c r="V128" s="222">
        <f t="shared" si="166"/>
        <v>0.65109713058155594</v>
      </c>
      <c r="W128" s="202">
        <f t="shared" si="167"/>
        <v>350</v>
      </c>
      <c r="X128" s="452">
        <f t="shared" si="168"/>
        <v>350</v>
      </c>
      <c r="Z128" s="222">
        <f t="shared" si="169"/>
        <v>2.1176470588235294</v>
      </c>
      <c r="AA128" s="178">
        <f t="shared" si="170"/>
        <v>1.2100840336134453</v>
      </c>
      <c r="AB128" s="178">
        <f t="shared" si="171"/>
        <v>0.27596486558424271</v>
      </c>
      <c r="AC128" s="178"/>
      <c r="AD128" s="178">
        <f t="shared" si="172"/>
        <v>0.46857142857142853</v>
      </c>
      <c r="AE128" s="560">
        <f t="shared" si="173"/>
        <v>749.5538370017847</v>
      </c>
      <c r="AF128" s="543">
        <f t="shared" si="174"/>
        <v>6.723999999999998E-2</v>
      </c>
      <c r="AH128" s="178">
        <f t="shared" si="175"/>
        <v>1.514016148513345</v>
      </c>
      <c r="AI128" s="178">
        <f t="shared" si="176"/>
        <v>1.514016148513345</v>
      </c>
      <c r="AJ128" s="178">
        <f t="shared" si="177"/>
        <v>1.7140860359358112</v>
      </c>
      <c r="AL128" s="560">
        <f t="shared" si="178"/>
        <v>144</v>
      </c>
      <c r="AM128" s="470">
        <f t="shared" si="179"/>
        <v>350</v>
      </c>
      <c r="AO128" s="470">
        <f t="shared" si="180"/>
        <v>144</v>
      </c>
      <c r="AP128" s="470">
        <f t="shared" si="181"/>
        <v>350</v>
      </c>
      <c r="AR128" s="6">
        <f t="shared" si="132"/>
        <v>2.8571428571428572</v>
      </c>
      <c r="AS128" s="6">
        <f t="shared" si="211"/>
        <v>1.1775681155103794</v>
      </c>
      <c r="AT128" s="6">
        <f t="shared" si="212"/>
        <v>1.6795747416324778</v>
      </c>
      <c r="AU128" s="178">
        <f t="shared" si="213"/>
        <v>0.41214884042863281</v>
      </c>
      <c r="AW128" s="6">
        <f>L*Iout^2/(2*Vripple1_spec*Vout*Npri_sec1^2)*1000000000*((1+N128)/(1-N128))^2</f>
        <v>21.552126200274348</v>
      </c>
      <c r="AX128" s="6">
        <f>L*F128^2/(2*Cout*Vout*Nps^2)*1000000000*((1+N128)/(1-N128))^2+F128*RCoutEsr</f>
        <v>2.2148652482269497</v>
      </c>
      <c r="AY128" s="6">
        <f>L*Iout2^2/(2*Vout_ripple2*Vout2*Npri_sec2^2)*1000000000*((1+N128)/(1-N128))^2</f>
        <v>8.4187992969821668</v>
      </c>
      <c r="AZ128" s="6">
        <f>L*G128^2/(2*Cout2*Vout2*Npri_sec2^2)*1000000000*((1+N128)/(1-N128))^2+G128*CoutEsr2</f>
        <v>0.96643173758865231</v>
      </c>
      <c r="BA128" s="6">
        <f>(H128+I128)/Efficiency/J128*AT128/Vinripple1</f>
        <v>0.8171965994375564</v>
      </c>
      <c r="BB128" s="6"/>
      <c r="BC128" s="6"/>
      <c r="BD128" s="178">
        <f t="shared" si="185"/>
        <v>0.56117319865686355</v>
      </c>
      <c r="BE128" s="178">
        <f t="shared" si="186"/>
        <v>0.67019868230419954</v>
      </c>
      <c r="BF128" s="178">
        <f t="shared" si="187"/>
        <v>0.41887417644012465</v>
      </c>
      <c r="BG128" s="178"/>
      <c r="BH128" s="543">
        <f t="shared" si="188"/>
        <v>3.464068947798532E-2</v>
      </c>
      <c r="BI128" s="543">
        <f t="shared" si="189"/>
        <v>5.6302475522840012E-2</v>
      </c>
      <c r="BJ128" s="543">
        <f t="shared" si="190"/>
        <v>1.7499999999999998E-2</v>
      </c>
      <c r="BK128" s="543">
        <f t="shared" si="191"/>
        <v>3.5560546875000001E-2</v>
      </c>
      <c r="BL128">
        <f t="shared" si="192"/>
        <v>2.6099999999999999E-3</v>
      </c>
      <c r="BM128" s="470">
        <f t="shared" si="193"/>
        <v>146.61371187582535</v>
      </c>
      <c r="BN128" s="178">
        <f t="shared" si="194"/>
        <v>5.7599999999999998E-2</v>
      </c>
      <c r="BO128" s="178">
        <f t="shared" si="195"/>
        <v>3.5999999999999997E-2</v>
      </c>
      <c r="BP128" s="543"/>
      <c r="BR128" s="470">
        <f t="shared" si="196"/>
        <v>93.6</v>
      </c>
      <c r="BS128" s="543">
        <f t="shared" si="197"/>
        <v>1.2596614355631027E-2</v>
      </c>
      <c r="BT128" s="543">
        <f t="shared" si="198"/>
        <v>1.7966650950491415E-2</v>
      </c>
      <c r="BU128" s="543">
        <f t="shared" si="199"/>
        <v>5.2636672706517802E-3</v>
      </c>
      <c r="BV128" s="543">
        <f t="shared" si="200"/>
        <v>0</v>
      </c>
      <c r="BW128" s="648">
        <f t="shared" si="201"/>
        <v>3.0085714285714282E-2</v>
      </c>
      <c r="BX128" s="470">
        <f t="shared" si="202"/>
        <v>65.912646862488501</v>
      </c>
      <c r="BY128" s="178">
        <f t="shared" si="203"/>
        <v>0.30612635873831384</v>
      </c>
      <c r="BZ128" s="6">
        <f t="shared" si="204"/>
        <v>2.8079999999999998</v>
      </c>
      <c r="CA128" s="178">
        <f t="shared" si="205"/>
        <v>0.90169751529853126</v>
      </c>
      <c r="CB128" s="6">
        <f t="shared" si="206"/>
        <v>90.16975152985313</v>
      </c>
      <c r="CC128">
        <f t="shared" si="207"/>
        <v>17.999999999999996</v>
      </c>
      <c r="CE128" s="577">
        <f t="shared" si="208"/>
        <v>-50</v>
      </c>
      <c r="CF128">
        <f t="shared" si="209"/>
        <v>-50</v>
      </c>
    </row>
    <row r="129" spans="5:84" x14ac:dyDescent="0.2">
      <c r="E129" s="175">
        <v>19</v>
      </c>
      <c r="F129" s="222">
        <f t="shared" si="210"/>
        <v>0.15200000000000002</v>
      </c>
      <c r="G129" s="222">
        <f t="shared" si="152"/>
        <v>9.5000000000000001E-2</v>
      </c>
      <c r="H129" s="222">
        <f t="shared" si="153"/>
        <v>1.8240000000000003</v>
      </c>
      <c r="I129" s="222">
        <f t="shared" si="154"/>
        <v>1.1400000000000001</v>
      </c>
      <c r="J129" s="556">
        <f t="shared" si="155"/>
        <v>9</v>
      </c>
      <c r="K129" s="452">
        <f t="shared" si="156"/>
        <v>12.25</v>
      </c>
      <c r="L129" s="452">
        <f t="shared" si="157"/>
        <v>21.25</v>
      </c>
      <c r="M129" s="452"/>
      <c r="N129" s="222">
        <f t="shared" si="158"/>
        <v>0.57647058823529407</v>
      </c>
      <c r="O129" s="177">
        <f t="shared" si="159"/>
        <v>6.2179004524886858</v>
      </c>
      <c r="P129" s="177">
        <f t="shared" si="160"/>
        <v>6.3150551470588203</v>
      </c>
      <c r="Q129" s="222">
        <f t="shared" si="161"/>
        <v>0.51815837104072382</v>
      </c>
      <c r="R129" s="222">
        <f t="shared" si="162"/>
        <v>0.51815837104072382</v>
      </c>
      <c r="S129" s="222">
        <f t="shared" si="163"/>
        <v>12</v>
      </c>
      <c r="T129" s="222">
        <f t="shared" si="164"/>
        <v>1.2027210884353745</v>
      </c>
      <c r="U129" s="222">
        <f t="shared" si="165"/>
        <v>0.93544973544973575</v>
      </c>
      <c r="V129" s="222">
        <f t="shared" si="166"/>
        <v>0.6872691933916425</v>
      </c>
      <c r="W129" s="202">
        <f t="shared" si="167"/>
        <v>350</v>
      </c>
      <c r="X129" s="452">
        <f t="shared" si="168"/>
        <v>350</v>
      </c>
      <c r="Z129" s="222">
        <f t="shared" si="169"/>
        <v>2.1176470588235294</v>
      </c>
      <c r="AA129" s="178">
        <f t="shared" si="170"/>
        <v>1.2100840336134453</v>
      </c>
      <c r="AB129" s="178">
        <f t="shared" si="171"/>
        <v>0.27596486558424271</v>
      </c>
      <c r="AC129" s="178"/>
      <c r="AD129" s="178">
        <f t="shared" si="172"/>
        <v>0.46857142857142853</v>
      </c>
      <c r="AE129" s="560">
        <f t="shared" si="173"/>
        <v>791.19571683521747</v>
      </c>
      <c r="AF129" s="543">
        <f t="shared" si="174"/>
        <v>6.723999999999998E-2</v>
      </c>
      <c r="AH129" s="178">
        <f t="shared" si="175"/>
        <v>1.5555037244361372</v>
      </c>
      <c r="AI129" s="178">
        <f t="shared" si="176"/>
        <v>1.5555037244361372</v>
      </c>
      <c r="AJ129" s="178">
        <f t="shared" si="177"/>
        <v>1.7448175736563978</v>
      </c>
      <c r="AL129" s="560">
        <f t="shared" si="178"/>
        <v>152.00000000000003</v>
      </c>
      <c r="AM129" s="470">
        <f t="shared" si="179"/>
        <v>350</v>
      </c>
      <c r="AO129" s="470">
        <f t="shared" si="180"/>
        <v>152.00000000000003</v>
      </c>
      <c r="AP129" s="470">
        <f t="shared" si="181"/>
        <v>350</v>
      </c>
      <c r="AR129" s="6">
        <f t="shared" si="132"/>
        <v>2.8571428571428572</v>
      </c>
      <c r="AS129" s="6">
        <f t="shared" si="211"/>
        <v>1.2098362301169956</v>
      </c>
      <c r="AT129" s="6">
        <f t="shared" si="212"/>
        <v>1.6473066270258616</v>
      </c>
      <c r="AU129" s="178">
        <f t="shared" si="213"/>
        <v>0.42344268054094847</v>
      </c>
      <c r="AW129" s="6">
        <f>L*Iout^2/(2*Vripple1_spec*Vout*Npri_sec1^2)*1000000000*((1+N129)/(1-N129))^2</f>
        <v>21.552126200274348</v>
      </c>
      <c r="AX129" s="6">
        <f>L*F129^2/(2*Cout*Vout*Nps^2)*1000000000*((1+N129)/(1-N129))^2+F129*RCoutEsr</f>
        <v>2.4424640574380527</v>
      </c>
      <c r="AY129" s="6">
        <f>L*Iout2^2/(2*Vout_ripple2*Vout2*Npri_sec2^2)*1000000000*((1+N129)/(1-N129))^2</f>
        <v>8.4187992969821668</v>
      </c>
      <c r="AZ129" s="6">
        <f>L*G129^2/(2*Cout2*Vout2*Npri_sec2^2)*1000000000*((1+N129)/(1-N129))^2+G129*CoutEsr2</f>
        <v>1.0609625224367392</v>
      </c>
      <c r="BA129" s="6">
        <f>(H129+I129)/Efficiency/J129*AT129/Vinripple1</f>
        <v>0.84602414425031924</v>
      </c>
      <c r="BB129" s="6"/>
      <c r="BC129" s="6"/>
      <c r="BD129" s="178">
        <f t="shared" si="185"/>
        <v>0.58439668410020262</v>
      </c>
      <c r="BE129" s="178">
        <f t="shared" si="186"/>
        <v>0.68191724414153521</v>
      </c>
      <c r="BF129" s="178">
        <f t="shared" si="187"/>
        <v>0.42619827758845941</v>
      </c>
      <c r="BG129" s="178"/>
      <c r="BH129" s="543">
        <f t="shared" si="188"/>
        <v>3.7567143282604319E-2</v>
      </c>
      <c r="BI129" s="543">
        <f t="shared" si="189"/>
        <v>5.7845294752468857E-2</v>
      </c>
      <c r="BJ129" s="543">
        <f t="shared" si="190"/>
        <v>1.7499999999999998E-2</v>
      </c>
      <c r="BK129" s="543">
        <f t="shared" si="191"/>
        <v>3.5560546875000001E-2</v>
      </c>
      <c r="BL129">
        <f t="shared" si="192"/>
        <v>2.6099999999999999E-3</v>
      </c>
      <c r="BM129" s="470">
        <f t="shared" si="193"/>
        <v>151.08298491007318</v>
      </c>
      <c r="BN129" s="178">
        <f t="shared" si="194"/>
        <v>6.0800000000000014E-2</v>
      </c>
      <c r="BO129" s="178">
        <f t="shared" si="195"/>
        <v>3.8000000000000006E-2</v>
      </c>
      <c r="BP129" s="543"/>
      <c r="BR129" s="470">
        <f t="shared" si="196"/>
        <v>98.800000000000026</v>
      </c>
      <c r="BS129" s="543">
        <f t="shared" si="197"/>
        <v>1.366077937549248E-2</v>
      </c>
      <c r="BT129" s="543">
        <f t="shared" si="198"/>
        <v>1.8600445114303445E-2</v>
      </c>
      <c r="BU129" s="543">
        <f t="shared" si="199"/>
        <v>5.4493491545810849E-3</v>
      </c>
      <c r="BV129" s="543">
        <f t="shared" si="200"/>
        <v>0</v>
      </c>
      <c r="BW129" s="648">
        <f t="shared" si="201"/>
        <v>3.1757142857142866E-2</v>
      </c>
      <c r="BX129" s="470">
        <f t="shared" si="202"/>
        <v>69.46771650151986</v>
      </c>
      <c r="BY129" s="178">
        <f t="shared" si="203"/>
        <v>0.31935070141159305</v>
      </c>
      <c r="BZ129" s="6">
        <f t="shared" si="204"/>
        <v>2.9640000000000004</v>
      </c>
      <c r="CA129" s="178">
        <f t="shared" si="205"/>
        <v>0.90273634148362647</v>
      </c>
      <c r="CB129" s="6">
        <f t="shared" si="206"/>
        <v>90.273634148362646</v>
      </c>
      <c r="CC129">
        <f t="shared" si="207"/>
        <v>19.000000000000004</v>
      </c>
      <c r="CE129" s="577">
        <f t="shared" si="208"/>
        <v>-50</v>
      </c>
      <c r="CF129">
        <f t="shared" si="209"/>
        <v>-50</v>
      </c>
    </row>
    <row r="130" spans="5:84" x14ac:dyDescent="0.2">
      <c r="E130" s="175">
        <v>20</v>
      </c>
      <c r="F130" s="222">
        <f t="shared" si="210"/>
        <v>0.16000000000000003</v>
      </c>
      <c r="G130" s="222">
        <f t="shared" si="152"/>
        <v>0.1</v>
      </c>
      <c r="H130" s="222">
        <f t="shared" si="153"/>
        <v>1.9200000000000004</v>
      </c>
      <c r="I130" s="222">
        <f t="shared" si="154"/>
        <v>1.2000000000000002</v>
      </c>
      <c r="J130" s="556">
        <f t="shared" si="155"/>
        <v>9</v>
      </c>
      <c r="K130" s="452">
        <f t="shared" si="156"/>
        <v>12.25</v>
      </c>
      <c r="L130" s="452">
        <f t="shared" si="157"/>
        <v>21.25</v>
      </c>
      <c r="M130" s="452"/>
      <c r="N130" s="222">
        <f t="shared" si="158"/>
        <v>0.57647058823529407</v>
      </c>
      <c r="O130" s="177">
        <f t="shared" si="159"/>
        <v>6.2179004524886858</v>
      </c>
      <c r="P130" s="177">
        <f t="shared" si="160"/>
        <v>6.3150551470588203</v>
      </c>
      <c r="Q130" s="222">
        <f t="shared" si="161"/>
        <v>0.51815837104072382</v>
      </c>
      <c r="R130" s="222">
        <f t="shared" si="162"/>
        <v>0.51815837104072382</v>
      </c>
      <c r="S130" s="222">
        <f t="shared" si="163"/>
        <v>12</v>
      </c>
      <c r="T130" s="222">
        <f t="shared" si="164"/>
        <v>1.266022198353026</v>
      </c>
      <c r="U130" s="222">
        <f t="shared" si="165"/>
        <v>0.98468393205235338</v>
      </c>
      <c r="V130" s="222">
        <f t="shared" si="166"/>
        <v>0.72344125620172917</v>
      </c>
      <c r="W130" s="202">
        <f t="shared" si="167"/>
        <v>350</v>
      </c>
      <c r="X130" s="452">
        <f t="shared" si="168"/>
        <v>350</v>
      </c>
      <c r="Z130" s="222">
        <f t="shared" si="169"/>
        <v>2.1176470588235294</v>
      </c>
      <c r="AA130" s="178">
        <f t="shared" si="170"/>
        <v>1.2100840336134453</v>
      </c>
      <c r="AB130" s="178">
        <f t="shared" si="171"/>
        <v>0.27596486558424271</v>
      </c>
      <c r="AC130" s="178"/>
      <c r="AD130" s="178">
        <f t="shared" si="172"/>
        <v>0.46857142857142853</v>
      </c>
      <c r="AE130" s="560">
        <f t="shared" si="173"/>
        <v>832.83759666864989</v>
      </c>
      <c r="AF130" s="543">
        <f t="shared" si="174"/>
        <v>6.723999999999998E-2</v>
      </c>
      <c r="AH130" s="178">
        <f t="shared" si="175"/>
        <v>1.5959131478593076</v>
      </c>
      <c r="AI130" s="178">
        <f t="shared" si="176"/>
        <v>1.5959131478593076</v>
      </c>
      <c r="AJ130" s="178">
        <f t="shared" si="177"/>
        <v>1.7747504798957834</v>
      </c>
      <c r="AL130" s="560">
        <f t="shared" si="178"/>
        <v>160.00000000000003</v>
      </c>
      <c r="AM130" s="470">
        <f t="shared" si="179"/>
        <v>350</v>
      </c>
      <c r="AO130" s="470">
        <f t="shared" si="180"/>
        <v>160.00000000000003</v>
      </c>
      <c r="AP130" s="470">
        <f t="shared" si="181"/>
        <v>350</v>
      </c>
      <c r="AR130" s="6">
        <f t="shared" si="132"/>
        <v>2.8571428571428572</v>
      </c>
      <c r="AS130" s="6">
        <f t="shared" si="211"/>
        <v>1.2412657816683503</v>
      </c>
      <c r="AT130" s="6">
        <f t="shared" si="212"/>
        <v>1.6158770754745069</v>
      </c>
      <c r="AU130" s="178">
        <f t="shared" si="213"/>
        <v>0.43444302358392262</v>
      </c>
      <c r="AW130" s="6">
        <f>L*Iout^2/(2*Vripple1_spec*Vout*Npri_sec1^2)*1000000000*((1+N130)/(1-N130))^2</f>
        <v>21.552126200274348</v>
      </c>
      <c r="AX130" s="6">
        <f>L*F130^2/(2*Cout*Vout*Nps^2)*1000000000*((1+N130)/(1-N130))^2+F130*RCoutEsr</f>
        <v>2.6810682076875936</v>
      </c>
      <c r="AY130" s="6">
        <f>L*Iout2^2/(2*Vout_ripple2*Vout2*Npri_sec2^2)*1000000000*((1+N130)/(1-N130))^2</f>
        <v>8.4187992969821668</v>
      </c>
      <c r="AZ130" s="6">
        <f>L*G130^2/(2*Cout2*Vout2*Npri_sec2^2)*1000000000*((1+N130)/(1-N130))^2+G130*CoutEsr2</f>
        <v>1.159792268627966</v>
      </c>
      <c r="BA130" s="6">
        <f>(H130+I130)/Efficiency/J130*AT130/Vinripple1</f>
        <v>0.87356057621493821</v>
      </c>
      <c r="BB130" s="6"/>
      <c r="BC130" s="6"/>
      <c r="BD130" s="178">
        <f t="shared" si="185"/>
        <v>0.60731644209472502</v>
      </c>
      <c r="BE130" s="178">
        <f t="shared" si="186"/>
        <v>0.69292592028162669</v>
      </c>
      <c r="BF130" s="178">
        <f t="shared" si="187"/>
        <v>0.43307870017601663</v>
      </c>
      <c r="BG130" s="178"/>
      <c r="BH130" s="543">
        <f t="shared" si="188"/>
        <v>4.0571658692245501E-2</v>
      </c>
      <c r="BI130" s="543">
        <f t="shared" si="189"/>
        <v>5.9348020186017994E-2</v>
      </c>
      <c r="BJ130" s="543">
        <f t="shared" si="190"/>
        <v>1.7499999999999998E-2</v>
      </c>
      <c r="BK130" s="543">
        <f t="shared" si="191"/>
        <v>3.5560546875000001E-2</v>
      </c>
      <c r="BL130">
        <f t="shared" si="192"/>
        <v>2.6099999999999999E-3</v>
      </c>
      <c r="BM130" s="470">
        <f t="shared" si="193"/>
        <v>155.5902257532635</v>
      </c>
      <c r="BN130" s="178">
        <f t="shared" si="194"/>
        <v>6.4000000000000015E-2</v>
      </c>
      <c r="BO130" s="178">
        <f t="shared" si="195"/>
        <v>4.0000000000000008E-2</v>
      </c>
      <c r="BP130" s="543"/>
      <c r="BR130" s="470">
        <f t="shared" si="196"/>
        <v>104.00000000000003</v>
      </c>
      <c r="BS130" s="543">
        <f t="shared" si="197"/>
        <v>1.4753330433543819E-2</v>
      </c>
      <c r="BT130" s="543">
        <f t="shared" si="198"/>
        <v>1.9205853239925571E-2</v>
      </c>
      <c r="BU130" s="543">
        <f t="shared" si="199"/>
        <v>5.6267148163844424E-3</v>
      </c>
      <c r="BV130" s="543">
        <f t="shared" si="200"/>
        <v>0</v>
      </c>
      <c r="BW130" s="648">
        <f t="shared" si="201"/>
        <v>3.3428571428571439E-2</v>
      </c>
      <c r="BX130" s="470">
        <f t="shared" si="202"/>
        <v>73.014469918425277</v>
      </c>
      <c r="BY130" s="178">
        <f t="shared" si="203"/>
        <v>0.33260469567168877</v>
      </c>
      <c r="BZ130" s="6">
        <f t="shared" si="204"/>
        <v>3.1200000000000006</v>
      </c>
      <c r="CA130" s="178">
        <f t="shared" si="205"/>
        <v>0.90366557280981108</v>
      </c>
      <c r="CB130" s="6">
        <f t="shared" si="206"/>
        <v>90.366557280981112</v>
      </c>
      <c r="CC130">
        <f t="shared" si="207"/>
        <v>20.000000000000004</v>
      </c>
      <c r="CE130" s="577">
        <f t="shared" si="208"/>
        <v>-50</v>
      </c>
      <c r="CF130">
        <f t="shared" si="209"/>
        <v>-50</v>
      </c>
    </row>
    <row r="131" spans="5:84" x14ac:dyDescent="0.2">
      <c r="E131" s="175">
        <v>21</v>
      </c>
      <c r="F131" s="222">
        <f t="shared" si="210"/>
        <v>0.16800000000000001</v>
      </c>
      <c r="G131" s="222">
        <f t="shared" si="152"/>
        <v>0.105</v>
      </c>
      <c r="H131" s="222">
        <f t="shared" si="153"/>
        <v>2.016</v>
      </c>
      <c r="I131" s="222">
        <f t="shared" si="154"/>
        <v>1.26</v>
      </c>
      <c r="J131" s="556">
        <f t="shared" si="155"/>
        <v>9</v>
      </c>
      <c r="K131" s="452">
        <f t="shared" si="156"/>
        <v>12.25</v>
      </c>
      <c r="L131" s="452">
        <f t="shared" si="157"/>
        <v>21.25</v>
      </c>
      <c r="M131" s="452"/>
      <c r="N131" s="222">
        <f t="shared" si="158"/>
        <v>0.57647058823529407</v>
      </c>
      <c r="O131" s="177">
        <f t="shared" si="159"/>
        <v>6.2179004524886858</v>
      </c>
      <c r="P131" s="177">
        <f t="shared" si="160"/>
        <v>6.3150551470588203</v>
      </c>
      <c r="Q131" s="222">
        <f t="shared" si="161"/>
        <v>0.51815837104072382</v>
      </c>
      <c r="R131" s="222">
        <f t="shared" si="162"/>
        <v>0.51815837104072382</v>
      </c>
      <c r="S131" s="222">
        <f t="shared" si="163"/>
        <v>12</v>
      </c>
      <c r="T131" s="222">
        <f t="shared" si="164"/>
        <v>1.3293233082706768</v>
      </c>
      <c r="U131" s="222">
        <f t="shared" si="165"/>
        <v>1.0339181286549708</v>
      </c>
      <c r="V131" s="222">
        <f t="shared" si="166"/>
        <v>0.75961331901181528</v>
      </c>
      <c r="W131" s="202">
        <f t="shared" si="167"/>
        <v>350</v>
      </c>
      <c r="X131" s="452">
        <f t="shared" si="168"/>
        <v>350</v>
      </c>
      <c r="Z131" s="222">
        <f t="shared" si="169"/>
        <v>2.1176470588235294</v>
      </c>
      <c r="AA131" s="178">
        <f t="shared" si="170"/>
        <v>1.2100840336134453</v>
      </c>
      <c r="AB131" s="178">
        <f t="shared" si="171"/>
        <v>0.27596486558424271</v>
      </c>
      <c r="AC131" s="178"/>
      <c r="AD131" s="178">
        <f t="shared" si="172"/>
        <v>0.46857142857142853</v>
      </c>
      <c r="AE131" s="560">
        <f t="shared" si="173"/>
        <v>874.47947650208232</v>
      </c>
      <c r="AF131" s="543">
        <f t="shared" si="174"/>
        <v>6.723999999999998E-2</v>
      </c>
      <c r="AH131" s="178">
        <f t="shared" si="175"/>
        <v>1.6353243452861925</v>
      </c>
      <c r="AI131" s="178">
        <f t="shared" si="176"/>
        <v>1.6353243452861925</v>
      </c>
      <c r="AJ131" s="178">
        <f t="shared" si="177"/>
        <v>1.8039439594712536</v>
      </c>
      <c r="AL131" s="560">
        <f t="shared" si="178"/>
        <v>168</v>
      </c>
      <c r="AM131" s="470">
        <f t="shared" si="179"/>
        <v>350</v>
      </c>
      <c r="AO131" s="470">
        <f t="shared" si="180"/>
        <v>168</v>
      </c>
      <c r="AP131" s="470">
        <f t="shared" si="181"/>
        <v>350</v>
      </c>
      <c r="AR131" s="6">
        <f t="shared" si="132"/>
        <v>2.8571428571428572</v>
      </c>
      <c r="AS131" s="6">
        <f t="shared" si="211"/>
        <v>1.2719189352225941</v>
      </c>
      <c r="AT131" s="6">
        <f t="shared" si="212"/>
        <v>1.5852239219202631</v>
      </c>
      <c r="AU131" s="178">
        <f t="shared" si="213"/>
        <v>0.44517162732790794</v>
      </c>
      <c r="AW131" s="6">
        <f>L*Iout^2/(2*Vripple1_spec*Vout*Npri_sec1^2)*1000000000*((1+N131)/(1-N131))^2</f>
        <v>21.552126200274348</v>
      </c>
      <c r="AX131" s="6">
        <f>L*F131^2/(2*Cout*Vout*Nps^2)*1000000000*((1+N131)/(1-N131))^2+F131*RCoutEsr</f>
        <v>2.930677698975571</v>
      </c>
      <c r="AY131" s="6">
        <f>L*Iout2^2/(2*Vout_ripple2*Vout2*Npri_sec2^2)*1000000000*((1+N131)/(1-N131))^2</f>
        <v>8.4187992969821668</v>
      </c>
      <c r="AZ131" s="6">
        <f>L*G131^2/(2*Cout2*Vout2*Npri_sec2^2)*1000000000*((1+N131)/(1-N131))^2+G131*CoutEsr2</f>
        <v>1.2629209761623321</v>
      </c>
      <c r="BA131" s="6">
        <f>(H131+I131)/Efficiency/J131*AT131/Vinripple1</f>
        <v>0.8998386083102935</v>
      </c>
      <c r="BB131" s="6"/>
      <c r="BC131" s="6"/>
      <c r="BD131" s="178">
        <f t="shared" si="185"/>
        <v>0.6299513535102923</v>
      </c>
      <c r="BE131" s="178">
        <f t="shared" si="186"/>
        <v>0.70327083235345544</v>
      </c>
      <c r="BF131" s="178">
        <f t="shared" si="187"/>
        <v>0.43954427022090958</v>
      </c>
      <c r="BG131" s="178"/>
      <c r="BH131" s="543">
        <f t="shared" si="188"/>
        <v>4.3652257856839419E-2</v>
      </c>
      <c r="BI131" s="543">
        <f t="shared" si="189"/>
        <v>6.0813624090330289E-2</v>
      </c>
      <c r="BJ131" s="543">
        <f t="shared" si="190"/>
        <v>1.7499999999999998E-2</v>
      </c>
      <c r="BK131" s="543">
        <f t="shared" si="191"/>
        <v>3.5560546875000001E-2</v>
      </c>
      <c r="BL131">
        <f t="shared" si="192"/>
        <v>2.6099999999999999E-3</v>
      </c>
      <c r="BM131" s="470">
        <f t="shared" si="193"/>
        <v>160.13642882216971</v>
      </c>
      <c r="BN131" s="178">
        <f t="shared" si="194"/>
        <v>6.720000000000001E-2</v>
      </c>
      <c r="BO131" s="178">
        <f t="shared" si="195"/>
        <v>4.2000000000000003E-2</v>
      </c>
      <c r="BP131" s="543"/>
      <c r="BR131" s="470">
        <f t="shared" si="196"/>
        <v>109.20000000000002</v>
      </c>
      <c r="BS131" s="543">
        <f t="shared" si="197"/>
        <v>1.5873548311577969E-2</v>
      </c>
      <c r="BT131" s="543">
        <f t="shared" si="198"/>
        <v>1.9783594545564883E-2</v>
      </c>
      <c r="BU131" s="543">
        <f t="shared" si="199"/>
        <v>5.7959749645209594E-3</v>
      </c>
      <c r="BV131" s="543">
        <f t="shared" si="200"/>
        <v>0</v>
      </c>
      <c r="BW131" s="648">
        <f t="shared" si="201"/>
        <v>3.5100000000000006E-2</v>
      </c>
      <c r="BX131" s="470">
        <f t="shared" si="202"/>
        <v>76.553117821663818</v>
      </c>
      <c r="BY131" s="178">
        <f t="shared" si="203"/>
        <v>0.34588954664383353</v>
      </c>
      <c r="BZ131" s="6">
        <f t="shared" si="204"/>
        <v>3.2759999999999998</v>
      </c>
      <c r="CA131" s="178">
        <f t="shared" si="205"/>
        <v>0.90450024988632061</v>
      </c>
      <c r="CB131" s="6">
        <f t="shared" si="206"/>
        <v>90.450024988632066</v>
      </c>
      <c r="CC131">
        <f t="shared" si="207"/>
        <v>21</v>
      </c>
      <c r="CE131" s="577">
        <f t="shared" si="208"/>
        <v>-50</v>
      </c>
      <c r="CF131">
        <f t="shared" si="209"/>
        <v>-50</v>
      </c>
    </row>
    <row r="132" spans="5:84" x14ac:dyDescent="0.2">
      <c r="E132" s="175">
        <v>22</v>
      </c>
      <c r="F132" s="222">
        <f t="shared" si="210"/>
        <v>0.17600000000000002</v>
      </c>
      <c r="G132" s="222">
        <f t="shared" si="152"/>
        <v>0.11</v>
      </c>
      <c r="H132" s="222">
        <f t="shared" si="153"/>
        <v>2.1120000000000001</v>
      </c>
      <c r="I132" s="222">
        <f t="shared" si="154"/>
        <v>1.32</v>
      </c>
      <c r="J132" s="556">
        <f t="shared" si="155"/>
        <v>9</v>
      </c>
      <c r="K132" s="452">
        <f t="shared" si="156"/>
        <v>12.25</v>
      </c>
      <c r="L132" s="452">
        <f t="shared" si="157"/>
        <v>21.25</v>
      </c>
      <c r="M132" s="452"/>
      <c r="N132" s="222">
        <f t="shared" si="158"/>
        <v>0.57647058823529407</v>
      </c>
      <c r="O132" s="177">
        <f t="shared" si="159"/>
        <v>6.2179004524886858</v>
      </c>
      <c r="P132" s="177">
        <f t="shared" si="160"/>
        <v>6.3150551470588203</v>
      </c>
      <c r="Q132" s="222">
        <f t="shared" si="161"/>
        <v>0.51815837104072382</v>
      </c>
      <c r="R132" s="222">
        <f t="shared" si="162"/>
        <v>0.51815837104072382</v>
      </c>
      <c r="S132" s="222">
        <f t="shared" si="163"/>
        <v>12</v>
      </c>
      <c r="T132" s="222">
        <f t="shared" si="164"/>
        <v>1.3926244181883285</v>
      </c>
      <c r="U132" s="222">
        <f t="shared" si="165"/>
        <v>1.0831523252575888</v>
      </c>
      <c r="V132" s="222">
        <f t="shared" si="166"/>
        <v>0.79578538182190184</v>
      </c>
      <c r="W132" s="202">
        <f t="shared" si="167"/>
        <v>350</v>
      </c>
      <c r="X132" s="452">
        <f t="shared" si="168"/>
        <v>350</v>
      </c>
      <c r="Z132" s="222">
        <f t="shared" si="169"/>
        <v>2.1176470588235294</v>
      </c>
      <c r="AA132" s="178">
        <f t="shared" si="170"/>
        <v>1.2100840336134453</v>
      </c>
      <c r="AB132" s="178">
        <f t="shared" si="171"/>
        <v>0.27596486558424271</v>
      </c>
      <c r="AC132" s="178"/>
      <c r="AD132" s="178">
        <f t="shared" si="172"/>
        <v>0.46857142857142853</v>
      </c>
      <c r="AE132" s="560">
        <f t="shared" si="173"/>
        <v>916.12135633551475</v>
      </c>
      <c r="AF132" s="543">
        <f t="shared" si="174"/>
        <v>6.723999999999998E-2</v>
      </c>
      <c r="AH132" s="178">
        <f t="shared" si="175"/>
        <v>1.6738078303859212</v>
      </c>
      <c r="AI132" s="178">
        <f t="shared" si="176"/>
        <v>1.6738078303859212</v>
      </c>
      <c r="AJ132" s="178">
        <f t="shared" si="177"/>
        <v>1.8324502447303119</v>
      </c>
      <c r="AL132" s="560">
        <f t="shared" si="178"/>
        <v>176.00000000000003</v>
      </c>
      <c r="AM132" s="470">
        <f t="shared" si="179"/>
        <v>350</v>
      </c>
      <c r="AO132" s="470">
        <f t="shared" si="180"/>
        <v>176.00000000000003</v>
      </c>
      <c r="AP132" s="470">
        <f t="shared" si="181"/>
        <v>350</v>
      </c>
      <c r="AR132" s="6">
        <f t="shared" si="132"/>
        <v>2.8571428571428572</v>
      </c>
      <c r="AS132" s="6">
        <f t="shared" si="211"/>
        <v>1.3018505347446054</v>
      </c>
      <c r="AT132" s="6">
        <f t="shared" si="212"/>
        <v>1.5552923223982518</v>
      </c>
      <c r="AU132" s="178">
        <f t="shared" si="213"/>
        <v>0.45564768716061188</v>
      </c>
      <c r="AW132" s="6">
        <f>L*Iout^2/(2*Vripple1_spec*Vout*Npri_sec1^2)*1000000000*((1+N132)/(1-N132))^2</f>
        <v>21.552126200274348</v>
      </c>
      <c r="AX132" s="6">
        <f>L*F132^2/(2*Cout*Vout*Nps^2)*1000000000*((1+N132)/(1-N132))^2+F132*RCoutEsr</f>
        <v>3.191292531301988</v>
      </c>
      <c r="AY132" s="6">
        <f>L*Iout2^2/(2*Vout_ripple2*Vout2*Npri_sec2^2)*1000000000*((1+N132)/(1-N132))^2</f>
        <v>8.4187992969821668</v>
      </c>
      <c r="AZ132" s="6">
        <f>L*G132^2/(2*Cout2*Vout2*Npri_sec2^2)*1000000000*((1+N132)/(1-N132))^2+G132*CoutEsr2</f>
        <v>1.370348645039839</v>
      </c>
      <c r="BA132" s="6">
        <f>(H132+I132)/Efficiency/J132*AT132/Vinripple1</f>
        <v>0.92488858574326194</v>
      </c>
      <c r="BB132" s="6"/>
      <c r="BC132" s="6"/>
      <c r="BD132" s="178">
        <f t="shared" si="185"/>
        <v>0.65231828597216668</v>
      </c>
      <c r="BE132" s="178">
        <f t="shared" si="186"/>
        <v>0.71299256995198967</v>
      </c>
      <c r="BF132" s="178">
        <f t="shared" si="187"/>
        <v>0.44562035621999346</v>
      </c>
      <c r="BG132" s="178"/>
      <c r="BH132" s="543">
        <f t="shared" si="188"/>
        <v>4.6807106083503199E-2</v>
      </c>
      <c r="BI132" s="543">
        <f t="shared" si="189"/>
        <v>6.2244728692476443E-2</v>
      </c>
      <c r="BJ132" s="543">
        <f t="shared" si="190"/>
        <v>1.7499999999999998E-2</v>
      </c>
      <c r="BK132" s="543">
        <f t="shared" si="191"/>
        <v>3.5560546875000001E-2</v>
      </c>
      <c r="BL132">
        <f t="shared" si="192"/>
        <v>2.6099999999999999E-3</v>
      </c>
      <c r="BM132" s="470">
        <f t="shared" si="193"/>
        <v>164.72238165097963</v>
      </c>
      <c r="BN132" s="178">
        <f t="shared" si="194"/>
        <v>7.0400000000000004E-2</v>
      </c>
      <c r="BO132" s="178">
        <f t="shared" si="195"/>
        <v>4.4000000000000004E-2</v>
      </c>
      <c r="BP132" s="543"/>
      <c r="BR132" s="470">
        <f t="shared" si="196"/>
        <v>114.4</v>
      </c>
      <c r="BS132" s="543">
        <f t="shared" si="197"/>
        <v>1.7020765848546619E-2</v>
      </c>
      <c r="BT132" s="543">
        <f t="shared" si="198"/>
        <v>2.0334336192269716E-2</v>
      </c>
      <c r="BU132" s="543">
        <f t="shared" si="199"/>
        <v>5.9573250563290155E-3</v>
      </c>
      <c r="BV132" s="543">
        <f t="shared" si="200"/>
        <v>0</v>
      </c>
      <c r="BW132" s="648">
        <f t="shared" si="201"/>
        <v>3.677142857142858E-2</v>
      </c>
      <c r="BX132" s="470">
        <f t="shared" si="202"/>
        <v>80.083855668573932</v>
      </c>
      <c r="BY132" s="178">
        <f t="shared" si="203"/>
        <v>0.35920623731955353</v>
      </c>
      <c r="BZ132" s="6">
        <f t="shared" si="204"/>
        <v>3.4320000000000004</v>
      </c>
      <c r="CA132" s="178">
        <f t="shared" si="205"/>
        <v>0.90525278372259732</v>
      </c>
      <c r="CB132" s="6">
        <f t="shared" si="206"/>
        <v>90.525278372259734</v>
      </c>
      <c r="CC132">
        <f t="shared" si="207"/>
        <v>22</v>
      </c>
      <c r="CE132" s="577">
        <f t="shared" si="208"/>
        <v>-50</v>
      </c>
      <c r="CF132">
        <f t="shared" si="209"/>
        <v>-50</v>
      </c>
    </row>
    <row r="133" spans="5:84" x14ac:dyDescent="0.2">
      <c r="E133" s="175">
        <v>23</v>
      </c>
      <c r="F133" s="222">
        <f t="shared" si="210"/>
        <v>0.18400000000000002</v>
      </c>
      <c r="G133" s="222">
        <f t="shared" si="152"/>
        <v>0.115</v>
      </c>
      <c r="H133" s="222">
        <f t="shared" si="153"/>
        <v>2.2080000000000002</v>
      </c>
      <c r="I133" s="222">
        <f t="shared" si="154"/>
        <v>1.3800000000000001</v>
      </c>
      <c r="J133" s="556">
        <f t="shared" si="155"/>
        <v>9</v>
      </c>
      <c r="K133" s="452">
        <f t="shared" si="156"/>
        <v>12.25</v>
      </c>
      <c r="L133" s="452">
        <f t="shared" si="157"/>
        <v>21.25</v>
      </c>
      <c r="M133" s="452"/>
      <c r="N133" s="222">
        <f t="shared" si="158"/>
        <v>0.57647058823529407</v>
      </c>
      <c r="O133" s="177">
        <f t="shared" si="159"/>
        <v>6.2179004524886858</v>
      </c>
      <c r="P133" s="177">
        <f t="shared" si="160"/>
        <v>6.3150551470588203</v>
      </c>
      <c r="Q133" s="222">
        <f t="shared" si="161"/>
        <v>0.51815837104072382</v>
      </c>
      <c r="R133" s="222">
        <f t="shared" si="162"/>
        <v>0.51815837104072382</v>
      </c>
      <c r="S133" s="222">
        <f t="shared" si="163"/>
        <v>12</v>
      </c>
      <c r="T133" s="222">
        <f t="shared" si="164"/>
        <v>1.4559255281059795</v>
      </c>
      <c r="U133" s="222">
        <f t="shared" si="165"/>
        <v>1.1323865218602063</v>
      </c>
      <c r="V133" s="222">
        <f t="shared" si="166"/>
        <v>0.8319574446319884</v>
      </c>
      <c r="W133" s="202">
        <f t="shared" si="167"/>
        <v>350</v>
      </c>
      <c r="X133" s="452">
        <f t="shared" si="168"/>
        <v>350</v>
      </c>
      <c r="Z133" s="222">
        <f t="shared" si="169"/>
        <v>2.1176470588235294</v>
      </c>
      <c r="AA133" s="178">
        <f t="shared" si="170"/>
        <v>1.2100840336134453</v>
      </c>
      <c r="AB133" s="178">
        <f t="shared" si="171"/>
        <v>0.27596486558424271</v>
      </c>
      <c r="AC133" s="178"/>
      <c r="AD133" s="178">
        <f t="shared" si="172"/>
        <v>0.46857142857142853</v>
      </c>
      <c r="AE133" s="560">
        <f t="shared" si="173"/>
        <v>957.76323616894729</v>
      </c>
      <c r="AF133" s="543">
        <f t="shared" si="174"/>
        <v>6.723999999999998E-2</v>
      </c>
      <c r="AH133" s="178">
        <f t="shared" si="175"/>
        <v>1.7114261864996501</v>
      </c>
      <c r="AI133" s="178">
        <f t="shared" si="176"/>
        <v>1.7114261864996501</v>
      </c>
      <c r="AJ133" s="178">
        <f t="shared" si="177"/>
        <v>1.8603156937034444</v>
      </c>
      <c r="AL133" s="560">
        <f t="shared" si="178"/>
        <v>184.00000000000003</v>
      </c>
      <c r="AM133" s="470">
        <f t="shared" si="179"/>
        <v>350</v>
      </c>
      <c r="AO133" s="470">
        <f t="shared" si="180"/>
        <v>184.00000000000003</v>
      </c>
      <c r="AP133" s="470">
        <f t="shared" si="181"/>
        <v>350</v>
      </c>
      <c r="AR133" s="6">
        <f t="shared" si="132"/>
        <v>2.8571428571428572</v>
      </c>
      <c r="AS133" s="6">
        <f t="shared" si="211"/>
        <v>1.3311092561663944</v>
      </c>
      <c r="AT133" s="6">
        <f t="shared" si="212"/>
        <v>1.5260336009764628</v>
      </c>
      <c r="AU133" s="178">
        <f t="shared" si="213"/>
        <v>0.46588823965823806</v>
      </c>
      <c r="AW133" s="6">
        <f>L*Iout^2/(2*Vripple1_spec*Vout*Npri_sec1^2)*1000000000*((1+N133)/(1-N133))^2</f>
        <v>21.552126200274348</v>
      </c>
      <c r="AX133" s="6">
        <f>L*F133^2/(2*Cout*Vout*Nps^2)*1000000000*((1+N133)/(1-N133))^2+F133*RCoutEsr</f>
        <v>3.462912704666842</v>
      </c>
      <c r="AY133" s="6">
        <f>L*Iout2^2/(2*Vout_ripple2*Vout2*Npri_sec2^2)*1000000000*((1+N133)/(1-N133))^2</f>
        <v>8.4187992969821668</v>
      </c>
      <c r="AZ133" s="6">
        <f>L*G133^2/(2*Cout2*Vout2*Npri_sec2^2)*1000000000*((1+N133)/(1-N133))^2+G133*CoutEsr2</f>
        <v>1.4820752752604849</v>
      </c>
      <c r="BA133" s="6">
        <f>(H133+I133)/Efficiency/J133*AT133/Vinripple1</f>
        <v>0.94873875855378775</v>
      </c>
      <c r="BB133" s="6"/>
      <c r="BC133" s="6"/>
      <c r="BD133" s="178">
        <f t="shared" si="185"/>
        <v>0.67443238999811816</v>
      </c>
      <c r="BE133" s="178">
        <f t="shared" si="186"/>
        <v>0.72212705387187326</v>
      </c>
      <c r="BF133" s="178">
        <f t="shared" si="187"/>
        <v>0.45132940866992072</v>
      </c>
      <c r="BG133" s="178"/>
      <c r="BH133" s="543">
        <f t="shared" si="188"/>
        <v>5.0034495354643112E-2</v>
      </c>
      <c r="BI133" s="543">
        <f t="shared" si="189"/>
        <v>6.3643661310455749E-2</v>
      </c>
      <c r="BJ133" s="543">
        <f t="shared" si="190"/>
        <v>1.7499999999999998E-2</v>
      </c>
      <c r="BK133" s="543">
        <f t="shared" si="191"/>
        <v>3.5560546875000001E-2</v>
      </c>
      <c r="BL133">
        <f t="shared" si="192"/>
        <v>2.6099999999999999E-3</v>
      </c>
      <c r="BM133" s="470">
        <f t="shared" si="193"/>
        <v>169.34870354009885</v>
      </c>
      <c r="BN133" s="178">
        <f t="shared" si="194"/>
        <v>7.3600000000000013E-2</v>
      </c>
      <c r="BO133" s="178">
        <f t="shared" si="195"/>
        <v>4.6000000000000006E-2</v>
      </c>
      <c r="BP133" s="543"/>
      <c r="BR133" s="470">
        <f t="shared" si="196"/>
        <v>119.60000000000001</v>
      </c>
      <c r="BS133" s="543">
        <f t="shared" si="197"/>
        <v>1.819436194714295E-2</v>
      </c>
      <c r="BT133" s="543">
        <f t="shared" si="198"/>
        <v>2.0858699277346852E-2</v>
      </c>
      <c r="BU133" s="543">
        <f t="shared" si="199"/>
        <v>6.110947053910209E-3</v>
      </c>
      <c r="BV133" s="543">
        <f t="shared" si="200"/>
        <v>0</v>
      </c>
      <c r="BW133" s="648">
        <f t="shared" si="201"/>
        <v>3.8442857142857154E-2</v>
      </c>
      <c r="BX133" s="470">
        <f t="shared" si="202"/>
        <v>83.606865421257169</v>
      </c>
      <c r="BY133" s="178">
        <f t="shared" si="203"/>
        <v>0.372555568961356</v>
      </c>
      <c r="BZ133" s="6">
        <f t="shared" si="204"/>
        <v>3.5880000000000001</v>
      </c>
      <c r="CA133" s="178">
        <f t="shared" si="205"/>
        <v>0.90593350794493266</v>
      </c>
      <c r="CB133" s="6">
        <f t="shared" si="206"/>
        <v>90.593350794493261</v>
      </c>
      <c r="CC133">
        <f t="shared" si="207"/>
        <v>23</v>
      </c>
      <c r="CE133" s="577">
        <f t="shared" si="208"/>
        <v>-50</v>
      </c>
      <c r="CF133">
        <f t="shared" si="209"/>
        <v>-50</v>
      </c>
    </row>
    <row r="134" spans="5:84" x14ac:dyDescent="0.2">
      <c r="E134" s="175">
        <v>24</v>
      </c>
      <c r="F134" s="222">
        <f t="shared" si="210"/>
        <v>0.192</v>
      </c>
      <c r="G134" s="222">
        <f t="shared" si="152"/>
        <v>0.12</v>
      </c>
      <c r="H134" s="222">
        <f t="shared" si="153"/>
        <v>2.3040000000000003</v>
      </c>
      <c r="I134" s="222">
        <f t="shared" si="154"/>
        <v>1.44</v>
      </c>
      <c r="J134" s="556">
        <f t="shared" si="155"/>
        <v>9</v>
      </c>
      <c r="K134" s="452">
        <f t="shared" si="156"/>
        <v>12.25</v>
      </c>
      <c r="L134" s="452">
        <f t="shared" si="157"/>
        <v>21.25</v>
      </c>
      <c r="M134" s="452"/>
      <c r="N134" s="222">
        <f t="shared" si="158"/>
        <v>0.57647058823529407</v>
      </c>
      <c r="O134" s="177">
        <f t="shared" si="159"/>
        <v>6.2179004524886858</v>
      </c>
      <c r="P134" s="177">
        <f t="shared" si="160"/>
        <v>6.3150551470588203</v>
      </c>
      <c r="Q134" s="222">
        <f t="shared" si="161"/>
        <v>0.51815837104072382</v>
      </c>
      <c r="R134" s="222">
        <f t="shared" si="162"/>
        <v>0.51815837104072382</v>
      </c>
      <c r="S134" s="222">
        <f t="shared" si="163"/>
        <v>12</v>
      </c>
      <c r="T134" s="222">
        <f t="shared" si="164"/>
        <v>1.519226638023631</v>
      </c>
      <c r="U134" s="222">
        <f t="shared" si="165"/>
        <v>1.181620718462824</v>
      </c>
      <c r="V134" s="222">
        <f t="shared" si="166"/>
        <v>0.86812950744207484</v>
      </c>
      <c r="W134" s="202">
        <f t="shared" si="167"/>
        <v>350</v>
      </c>
      <c r="X134" s="452">
        <f t="shared" si="168"/>
        <v>350</v>
      </c>
      <c r="Z134" s="222">
        <f t="shared" si="169"/>
        <v>2.1176470588235294</v>
      </c>
      <c r="AA134" s="178">
        <f t="shared" si="170"/>
        <v>1.2100840336134453</v>
      </c>
      <c r="AB134" s="178">
        <f t="shared" si="171"/>
        <v>0.27596486558424271</v>
      </c>
      <c r="AC134" s="178"/>
      <c r="AD134" s="178">
        <f t="shared" si="172"/>
        <v>0.46857142857142853</v>
      </c>
      <c r="AE134" s="560">
        <f t="shared" si="173"/>
        <v>999.40511600237983</v>
      </c>
      <c r="AF134" s="543">
        <f t="shared" si="174"/>
        <v>6.723999999999998E-2</v>
      </c>
      <c r="AH134" s="178">
        <f t="shared" si="175"/>
        <v>1.7482352618032404</v>
      </c>
      <c r="AI134" s="178">
        <f t="shared" si="176"/>
        <v>1.7482352618032404</v>
      </c>
      <c r="AJ134" s="178">
        <f t="shared" si="177"/>
        <v>1.8875816754098076</v>
      </c>
      <c r="AL134" s="560">
        <f t="shared" si="178"/>
        <v>192</v>
      </c>
      <c r="AM134" s="470">
        <f t="shared" si="179"/>
        <v>350</v>
      </c>
      <c r="AO134" s="470">
        <f t="shared" si="180"/>
        <v>192</v>
      </c>
      <c r="AP134" s="470">
        <f t="shared" si="181"/>
        <v>350</v>
      </c>
      <c r="AR134" s="6">
        <f t="shared" ref="AR134:AR197" si="214">1/AM134*1000</f>
        <v>2.8571428571428572</v>
      </c>
      <c r="AS134" s="6">
        <f t="shared" si="211"/>
        <v>1.3597385369580759</v>
      </c>
      <c r="AT134" s="6">
        <f t="shared" si="212"/>
        <v>1.4974043201847813</v>
      </c>
      <c r="AU134" s="178">
        <f t="shared" si="213"/>
        <v>0.47590848793532653</v>
      </c>
      <c r="AW134" s="6">
        <f>L*Iout^2/(2*Vripple1_spec*Vout*Npri_sec1^2)*1000000000*((1+N134)/(1-N134))^2</f>
        <v>21.552126200274348</v>
      </c>
      <c r="AX134" s="6">
        <f>L*F134^2/(2*Cout*Vout*Nps^2)*1000000000*((1+N134)/(1-N134))^2+F134*RCoutEsr</f>
        <v>3.7455382190701338</v>
      </c>
      <c r="AY134" s="6">
        <f>L*Iout2^2/(2*Vout_ripple2*Vout2*Npri_sec2^2)*1000000000*((1+N134)/(1-N134))^2</f>
        <v>8.4187992969821668</v>
      </c>
      <c r="AZ134" s="6">
        <f>L*G134^2/(2*Cout2*Vout2*Npri_sec2^2)*1000000000*((1+N134)/(1-N134))^2+G134*CoutEsr2</f>
        <v>1.5981008668242707</v>
      </c>
      <c r="BA134" s="6">
        <f>(H134+I134)/Efficiency/J134*AT134/Vinripple1</f>
        <v>0.9714155121978465</v>
      </c>
      <c r="BB134" s="6"/>
      <c r="BC134" s="6"/>
      <c r="BD134" s="178">
        <f t="shared" si="185"/>
        <v>0.69630734062392685</v>
      </c>
      <c r="BE134" s="178">
        <f t="shared" si="186"/>
        <v>0.73070623207778662</v>
      </c>
      <c r="BF134" s="178">
        <f t="shared" si="187"/>
        <v>0.45669139504861656</v>
      </c>
      <c r="BG134" s="178"/>
      <c r="BH134" s="543">
        <f t="shared" si="188"/>
        <v>5.3332830386744183E-2</v>
      </c>
      <c r="BI134" s="543">
        <f t="shared" si="189"/>
        <v>6.5012498798308005E-2</v>
      </c>
      <c r="BJ134" s="543">
        <f t="shared" si="190"/>
        <v>1.7499999999999998E-2</v>
      </c>
      <c r="BK134" s="543">
        <f t="shared" si="191"/>
        <v>3.5560546875000001E-2</v>
      </c>
      <c r="BL134">
        <f t="shared" si="192"/>
        <v>2.6099999999999999E-3</v>
      </c>
      <c r="BM134" s="470">
        <f t="shared" si="193"/>
        <v>174.01587606005219</v>
      </c>
      <c r="BN134" s="178">
        <f t="shared" si="194"/>
        <v>7.6800000000000007E-2</v>
      </c>
      <c r="BO134" s="178">
        <f t="shared" si="195"/>
        <v>4.8000000000000001E-2</v>
      </c>
      <c r="BP134" s="543"/>
      <c r="BR134" s="470">
        <f t="shared" si="196"/>
        <v>124.80000000000001</v>
      </c>
      <c r="BS134" s="543">
        <f t="shared" si="197"/>
        <v>1.9393756504270613E-2</v>
      </c>
      <c r="BT134" s="543">
        <f t="shared" si="198"/>
        <v>2.1357263903892646E-2</v>
      </c>
      <c r="BU134" s="543">
        <f t="shared" si="199"/>
        <v>6.2570109093435461E-3</v>
      </c>
      <c r="BV134" s="543">
        <f t="shared" si="200"/>
        <v>0</v>
      </c>
      <c r="BW134" s="648">
        <f t="shared" si="201"/>
        <v>4.0114285714285713E-2</v>
      </c>
      <c r="BX134" s="470">
        <f t="shared" si="202"/>
        <v>87.12231703179252</v>
      </c>
      <c r="BY134" s="178">
        <f t="shared" si="203"/>
        <v>0.38593819309184468</v>
      </c>
      <c r="BZ134" s="6">
        <f t="shared" si="204"/>
        <v>3.7440000000000002</v>
      </c>
      <c r="CA134" s="178">
        <f t="shared" si="205"/>
        <v>0.90655109712358306</v>
      </c>
      <c r="CB134" s="6">
        <f t="shared" si="206"/>
        <v>90.655109712358311</v>
      </c>
      <c r="CC134">
        <f t="shared" si="207"/>
        <v>24</v>
      </c>
      <c r="CE134" s="577">
        <f t="shared" si="208"/>
        <v>-50</v>
      </c>
      <c r="CF134">
        <f t="shared" si="209"/>
        <v>-50</v>
      </c>
    </row>
    <row r="135" spans="5:84" x14ac:dyDescent="0.2">
      <c r="E135" s="175">
        <v>25</v>
      </c>
      <c r="F135" s="222">
        <f t="shared" si="210"/>
        <v>0.2</v>
      </c>
      <c r="G135" s="222">
        <f t="shared" si="152"/>
        <v>0.125</v>
      </c>
      <c r="H135" s="222">
        <f t="shared" si="153"/>
        <v>2.4000000000000004</v>
      </c>
      <c r="I135" s="222">
        <f t="shared" si="154"/>
        <v>1.5</v>
      </c>
      <c r="J135" s="556">
        <f t="shared" si="155"/>
        <v>9</v>
      </c>
      <c r="K135" s="452">
        <f t="shared" si="156"/>
        <v>12.25</v>
      </c>
      <c r="L135" s="452">
        <f t="shared" si="157"/>
        <v>21.25</v>
      </c>
      <c r="M135" s="452"/>
      <c r="N135" s="222">
        <f t="shared" si="158"/>
        <v>0.57647058823529407</v>
      </c>
      <c r="O135" s="177">
        <f t="shared" si="159"/>
        <v>6.2179004524886858</v>
      </c>
      <c r="P135" s="177">
        <f t="shared" si="160"/>
        <v>6.3150551470588203</v>
      </c>
      <c r="Q135" s="222">
        <f t="shared" si="161"/>
        <v>0.51815837104072382</v>
      </c>
      <c r="R135" s="222">
        <f t="shared" si="162"/>
        <v>0.51815837104072382</v>
      </c>
      <c r="S135" s="222">
        <f t="shared" si="163"/>
        <v>12</v>
      </c>
      <c r="T135" s="222">
        <f t="shared" si="164"/>
        <v>1.5825277479412823</v>
      </c>
      <c r="U135" s="222">
        <f t="shared" si="165"/>
        <v>1.2308549150654418</v>
      </c>
      <c r="V135" s="222">
        <f t="shared" si="166"/>
        <v>0.90430157025216129</v>
      </c>
      <c r="W135" s="202">
        <f t="shared" si="167"/>
        <v>350</v>
      </c>
      <c r="X135" s="452">
        <f t="shared" si="168"/>
        <v>350</v>
      </c>
      <c r="Z135" s="222">
        <f t="shared" si="169"/>
        <v>2.1176470588235294</v>
      </c>
      <c r="AA135" s="178">
        <f t="shared" si="170"/>
        <v>1.2100840336134453</v>
      </c>
      <c r="AB135" s="178">
        <f t="shared" si="171"/>
        <v>0.27596486558424271</v>
      </c>
      <c r="AC135" s="178"/>
      <c r="AD135" s="178">
        <f t="shared" si="172"/>
        <v>0.46857142857142853</v>
      </c>
      <c r="AE135" s="560">
        <f t="shared" si="173"/>
        <v>1041.0469958358124</v>
      </c>
      <c r="AF135" s="543">
        <f t="shared" si="174"/>
        <v>6.723999999999998E-2</v>
      </c>
      <c r="AH135" s="178">
        <f t="shared" si="175"/>
        <v>1.7842851423995423</v>
      </c>
      <c r="AI135" s="178">
        <f t="shared" si="176"/>
        <v>1.7842851423995423</v>
      </c>
      <c r="AJ135" s="178">
        <f t="shared" si="177"/>
        <v>1.9142852906663277</v>
      </c>
      <c r="AL135" s="560">
        <f t="shared" si="178"/>
        <v>200</v>
      </c>
      <c r="AM135" s="470">
        <f t="shared" si="179"/>
        <v>350</v>
      </c>
      <c r="AO135" s="470">
        <f t="shared" si="180"/>
        <v>200</v>
      </c>
      <c r="AP135" s="470">
        <f t="shared" si="181"/>
        <v>350</v>
      </c>
      <c r="AR135" s="6">
        <f t="shared" si="214"/>
        <v>2.8571428571428572</v>
      </c>
      <c r="AS135" s="6">
        <f t="shared" si="211"/>
        <v>1.3877773329774219</v>
      </c>
      <c r="AT135" s="6">
        <f t="shared" si="212"/>
        <v>1.4693655241654353</v>
      </c>
      <c r="AU135" s="178">
        <f t="shared" si="213"/>
        <v>0.48572206654209765</v>
      </c>
      <c r="AW135" s="6">
        <f>L*Iout^2/(2*Vripple1_spec*Vout*Npri_sec1^2)*1000000000*((1+N135)/(1-N135))^2</f>
        <v>21.552126200274348</v>
      </c>
      <c r="AX135" s="6">
        <f>L*F135^2/(2*Cout*Vout*Nps^2)*1000000000*((1+N135)/(1-N135))^2+F135*RCoutEsr</f>
        <v>4.0391690745118645</v>
      </c>
      <c r="AY135" s="6">
        <f>L*Iout2^2/(2*Vout_ripple2*Vout2*Npri_sec2^2)*1000000000*((1+N135)/(1-N135))^2</f>
        <v>8.4187992969821668</v>
      </c>
      <c r="AZ135" s="6">
        <f>L*G135^2/(2*Cout2*Vout2*Npri_sec2^2)*1000000000*((1+N135)/(1-N135))^2+G135*CoutEsr2</f>
        <v>1.7184254197311968</v>
      </c>
      <c r="BA135" s="6">
        <f>(H135+I135)/Efficiency/J135*AT135/Vinripple1</f>
        <v>0.99294356408840334</v>
      </c>
      <c r="BB135" s="6"/>
      <c r="BC135" s="6"/>
      <c r="BD135" s="178">
        <f t="shared" si="185"/>
        <v>0.71795553640093668</v>
      </c>
      <c r="BE135" s="178">
        <f t="shared" si="186"/>
        <v>0.73875864634341959</v>
      </c>
      <c r="BF135" s="178">
        <f t="shared" si="187"/>
        <v>0.46172415396463717</v>
      </c>
      <c r="BG135" s="178"/>
      <c r="BH135" s="543">
        <f t="shared" si="188"/>
        <v>5.6700616747363243E-2</v>
      </c>
      <c r="BI135" s="543">
        <f t="shared" si="189"/>
        <v>6.6353103732982976E-2</v>
      </c>
      <c r="BJ135" s="543">
        <f t="shared" si="190"/>
        <v>1.7499999999999998E-2</v>
      </c>
      <c r="BK135" s="543">
        <f t="shared" si="191"/>
        <v>3.5560546875000001E-2</v>
      </c>
      <c r="BL135">
        <f t="shared" si="192"/>
        <v>2.6099999999999999E-3</v>
      </c>
      <c r="BM135" s="470">
        <f t="shared" si="193"/>
        <v>178.7242673553462</v>
      </c>
      <c r="BN135" s="178">
        <f t="shared" si="194"/>
        <v>8.0000000000000016E-2</v>
      </c>
      <c r="BO135" s="178">
        <f t="shared" si="195"/>
        <v>0.05</v>
      </c>
      <c r="BP135" s="543"/>
      <c r="BR135" s="470">
        <f t="shared" si="196"/>
        <v>130</v>
      </c>
      <c r="BS135" s="543">
        <f t="shared" si="197"/>
        <v>2.0618406089950272E-2</v>
      </c>
      <c r="BT135" s="543">
        <f t="shared" si="198"/>
        <v>2.1830573501886469E-2</v>
      </c>
      <c r="BU135" s="543">
        <f t="shared" si="199"/>
        <v>6.3956758306307994E-3</v>
      </c>
      <c r="BV135" s="543">
        <f t="shared" si="200"/>
        <v>0</v>
      </c>
      <c r="BW135" s="648">
        <f t="shared" si="201"/>
        <v>4.1785714285714287E-2</v>
      </c>
      <c r="BX135" s="470">
        <f t="shared" si="202"/>
        <v>90.630369708181831</v>
      </c>
      <c r="BY135" s="178">
        <f t="shared" si="203"/>
        <v>0.39935463706352792</v>
      </c>
      <c r="BZ135" s="6">
        <f t="shared" si="204"/>
        <v>3.9000000000000004</v>
      </c>
      <c r="CA135" s="178">
        <f t="shared" si="205"/>
        <v>0.90711288768300158</v>
      </c>
      <c r="CB135" s="6">
        <f t="shared" si="206"/>
        <v>90.711288768300165</v>
      </c>
      <c r="CC135">
        <f t="shared" si="207"/>
        <v>25</v>
      </c>
      <c r="CE135" s="577">
        <f t="shared" si="208"/>
        <v>-50</v>
      </c>
      <c r="CF135">
        <f t="shared" si="209"/>
        <v>-50</v>
      </c>
    </row>
    <row r="136" spans="5:84" x14ac:dyDescent="0.2">
      <c r="E136" s="175">
        <v>26</v>
      </c>
      <c r="F136" s="222">
        <f t="shared" si="210"/>
        <v>0.20800000000000002</v>
      </c>
      <c r="G136" s="222">
        <f t="shared" si="152"/>
        <v>0.13</v>
      </c>
      <c r="H136" s="222">
        <f t="shared" si="153"/>
        <v>2.4960000000000004</v>
      </c>
      <c r="I136" s="222">
        <f t="shared" si="154"/>
        <v>1.56</v>
      </c>
      <c r="J136" s="556">
        <f t="shared" si="155"/>
        <v>9</v>
      </c>
      <c r="K136" s="452">
        <f t="shared" si="156"/>
        <v>12.25</v>
      </c>
      <c r="L136" s="452">
        <f t="shared" si="157"/>
        <v>21.25</v>
      </c>
      <c r="M136" s="452"/>
      <c r="N136" s="222">
        <f t="shared" si="158"/>
        <v>0.57647058823529407</v>
      </c>
      <c r="O136" s="177">
        <f t="shared" si="159"/>
        <v>6.2179004524886858</v>
      </c>
      <c r="P136" s="177">
        <f t="shared" si="160"/>
        <v>6.3150551470588203</v>
      </c>
      <c r="Q136" s="222">
        <f t="shared" si="161"/>
        <v>0.51815837104072382</v>
      </c>
      <c r="R136" s="222">
        <f t="shared" si="162"/>
        <v>0.51815837104072382</v>
      </c>
      <c r="S136" s="222">
        <f t="shared" si="163"/>
        <v>12</v>
      </c>
      <c r="T136" s="222">
        <f t="shared" si="164"/>
        <v>1.6458288578589337</v>
      </c>
      <c r="U136" s="222">
        <f t="shared" si="165"/>
        <v>1.2800891116680595</v>
      </c>
      <c r="V136" s="222">
        <f t="shared" si="166"/>
        <v>0.94047363306224785</v>
      </c>
      <c r="W136" s="202">
        <f t="shared" si="167"/>
        <v>350</v>
      </c>
      <c r="X136" s="452">
        <f t="shared" si="168"/>
        <v>350</v>
      </c>
      <c r="Z136" s="222">
        <f t="shared" si="169"/>
        <v>2.1176470588235294</v>
      </c>
      <c r="AA136" s="178">
        <f t="shared" si="170"/>
        <v>1.2100840336134453</v>
      </c>
      <c r="AB136" s="178">
        <f t="shared" si="171"/>
        <v>0.27596486558424271</v>
      </c>
      <c r="AC136" s="178"/>
      <c r="AD136" s="178">
        <f t="shared" si="172"/>
        <v>0.46857142857142853</v>
      </c>
      <c r="AE136" s="560">
        <f t="shared" si="173"/>
        <v>1082.6888756692449</v>
      </c>
      <c r="AF136" s="543">
        <f t="shared" si="174"/>
        <v>6.723999999999998E-2</v>
      </c>
      <c r="AH136" s="178">
        <f t="shared" si="175"/>
        <v>1.8196209517817896</v>
      </c>
      <c r="AI136" s="178">
        <f t="shared" si="176"/>
        <v>1.8196209517817896</v>
      </c>
      <c r="AJ136" s="178">
        <f t="shared" si="177"/>
        <v>1.9404599642828071</v>
      </c>
      <c r="AL136" s="560">
        <f t="shared" si="178"/>
        <v>208.00000000000003</v>
      </c>
      <c r="AM136" s="470">
        <f t="shared" si="179"/>
        <v>350</v>
      </c>
      <c r="AO136" s="470">
        <f t="shared" si="180"/>
        <v>208.00000000000003</v>
      </c>
      <c r="AP136" s="470">
        <f t="shared" si="181"/>
        <v>350</v>
      </c>
      <c r="AR136" s="6">
        <f t="shared" si="214"/>
        <v>2.8571428571428572</v>
      </c>
      <c r="AS136" s="6">
        <f t="shared" si="211"/>
        <v>1.415260740274725</v>
      </c>
      <c r="AT136" s="6">
        <f t="shared" si="212"/>
        <v>1.4418821168681322</v>
      </c>
      <c r="AU136" s="178">
        <f t="shared" si="213"/>
        <v>0.49534125909615373</v>
      </c>
      <c r="AW136" s="6">
        <f>L*Iout^2/(2*Vripple1_spec*Vout*Npri_sec1^2)*1000000000*((1+N136)/(1-N136))^2</f>
        <v>21.552126200274348</v>
      </c>
      <c r="AX136" s="6">
        <f>L*F136^2/(2*Cout*Vout*Nps^2)*1000000000*((1+N136)/(1-N136))^2+F136*RCoutEsr</f>
        <v>4.3438052709920321</v>
      </c>
      <c r="AY136" s="6">
        <f>L*Iout2^2/(2*Vout_ripple2*Vout2*Npri_sec2^2)*1000000000*((1+N136)/(1-N136))^2</f>
        <v>8.4187992969821668</v>
      </c>
      <c r="AZ136" s="6">
        <f>L*G136^2/(2*Cout2*Vout2*Npri_sec2^2)*1000000000*((1+N136)/(1-N136))^2+G136*CoutEsr2</f>
        <v>1.8430489339812626</v>
      </c>
      <c r="BA136" s="6">
        <f>(H136+I136)/Efficiency/J136*AT136/Vinripple1</f>
        <v>1.0133461322966681</v>
      </c>
      <c r="BB136" s="6"/>
      <c r="BC136" s="6"/>
      <c r="BD136" s="178">
        <f t="shared" si="185"/>
        <v>0.73938826468747187</v>
      </c>
      <c r="BE136" s="178">
        <f t="shared" si="186"/>
        <v>0.74630989771689638</v>
      </c>
      <c r="BF136" s="178">
        <f t="shared" si="187"/>
        <v>0.46644368607306014</v>
      </c>
      <c r="BG136" s="178"/>
      <c r="BH136" s="543">
        <f t="shared" si="188"/>
        <v>6.0136450655330603E-2</v>
      </c>
      <c r="BI136" s="543">
        <f t="shared" si="189"/>
        <v>6.7667154144385303E-2</v>
      </c>
      <c r="BJ136" s="543">
        <f t="shared" si="190"/>
        <v>1.7499999999999998E-2</v>
      </c>
      <c r="BK136" s="543">
        <f t="shared" si="191"/>
        <v>3.5560546875000001E-2</v>
      </c>
      <c r="BL136">
        <f t="shared" si="192"/>
        <v>2.6099999999999999E-3</v>
      </c>
      <c r="BM136" s="470">
        <f t="shared" si="193"/>
        <v>183.47415167471593</v>
      </c>
      <c r="BN136" s="178">
        <f t="shared" si="194"/>
        <v>8.320000000000001E-2</v>
      </c>
      <c r="BO136" s="178">
        <f t="shared" si="195"/>
        <v>5.2000000000000005E-2</v>
      </c>
      <c r="BP136" s="543"/>
      <c r="BR136" s="470">
        <f t="shared" si="196"/>
        <v>135.20000000000002</v>
      </c>
      <c r="BS136" s="543">
        <f t="shared" si="197"/>
        <v>2.1867800238302038E-2</v>
      </c>
      <c r="BT136" s="543">
        <f t="shared" si="198"/>
        <v>2.2279138537208171E-2</v>
      </c>
      <c r="BU136" s="543">
        <f t="shared" si="199"/>
        <v>6.5270913683227036E-3</v>
      </c>
      <c r="BV136" s="543">
        <f t="shared" si="200"/>
        <v>0</v>
      </c>
      <c r="BW136" s="648">
        <f t="shared" si="201"/>
        <v>4.3457142857142861E-2</v>
      </c>
      <c r="BX136" s="470">
        <f t="shared" si="202"/>
        <v>94.131173000975778</v>
      </c>
      <c r="BY136" s="178">
        <f t="shared" si="203"/>
        <v>0.4128053246756917</v>
      </c>
      <c r="BZ136" s="6">
        <f t="shared" si="204"/>
        <v>4.0560000000000009</v>
      </c>
      <c r="CA136" s="178">
        <f t="shared" si="205"/>
        <v>0.90762512692233932</v>
      </c>
      <c r="CB136" s="6">
        <f t="shared" si="206"/>
        <v>90.762512692233926</v>
      </c>
      <c r="CC136">
        <f t="shared" si="207"/>
        <v>26</v>
      </c>
      <c r="CE136" s="577">
        <f t="shared" si="208"/>
        <v>-50</v>
      </c>
      <c r="CF136">
        <f t="shared" si="209"/>
        <v>-50</v>
      </c>
    </row>
    <row r="137" spans="5:84" x14ac:dyDescent="0.2">
      <c r="E137" s="175">
        <v>27</v>
      </c>
      <c r="F137" s="222">
        <f t="shared" si="210"/>
        <v>0.21600000000000003</v>
      </c>
      <c r="G137" s="222">
        <f t="shared" si="152"/>
        <v>0.13500000000000001</v>
      </c>
      <c r="H137" s="222">
        <f t="shared" si="153"/>
        <v>2.5920000000000005</v>
      </c>
      <c r="I137" s="222">
        <f t="shared" si="154"/>
        <v>1.62</v>
      </c>
      <c r="J137" s="556">
        <f t="shared" si="155"/>
        <v>9</v>
      </c>
      <c r="K137" s="452">
        <f t="shared" si="156"/>
        <v>12.25</v>
      </c>
      <c r="L137" s="452">
        <f t="shared" si="157"/>
        <v>21.25</v>
      </c>
      <c r="M137" s="452"/>
      <c r="N137" s="222">
        <f t="shared" si="158"/>
        <v>0.57647058823529407</v>
      </c>
      <c r="O137" s="177">
        <f t="shared" si="159"/>
        <v>6.2179004524886858</v>
      </c>
      <c r="P137" s="177">
        <f t="shared" si="160"/>
        <v>6.3150551470588203</v>
      </c>
      <c r="Q137" s="222">
        <f t="shared" si="161"/>
        <v>0.51815837104072382</v>
      </c>
      <c r="R137" s="222">
        <f t="shared" si="162"/>
        <v>0.51815837104072382</v>
      </c>
      <c r="S137" s="222">
        <f t="shared" si="163"/>
        <v>12</v>
      </c>
      <c r="T137" s="222">
        <f t="shared" si="164"/>
        <v>1.709129967776585</v>
      </c>
      <c r="U137" s="222">
        <f t="shared" si="165"/>
        <v>1.3293233082706772</v>
      </c>
      <c r="V137" s="222">
        <f t="shared" si="166"/>
        <v>0.97664569587233419</v>
      </c>
      <c r="W137" s="202">
        <f t="shared" si="167"/>
        <v>350</v>
      </c>
      <c r="X137" s="452">
        <f t="shared" si="168"/>
        <v>350</v>
      </c>
      <c r="Z137" s="222">
        <f t="shared" si="169"/>
        <v>2.1176470588235294</v>
      </c>
      <c r="AA137" s="178">
        <f t="shared" si="170"/>
        <v>1.2100840336134453</v>
      </c>
      <c r="AB137" s="178">
        <f t="shared" si="171"/>
        <v>0.27596486558424271</v>
      </c>
      <c r="AC137" s="178"/>
      <c r="AD137" s="178">
        <f t="shared" si="172"/>
        <v>0.46857142857142853</v>
      </c>
      <c r="AE137" s="560">
        <f t="shared" si="173"/>
        <v>1124.3307555026772</v>
      </c>
      <c r="AF137" s="543">
        <f t="shared" si="174"/>
        <v>6.723999999999998E-2</v>
      </c>
      <c r="AH137" s="178">
        <f t="shared" si="175"/>
        <v>1.854283513095766</v>
      </c>
      <c r="AI137" s="178">
        <f t="shared" si="176"/>
        <v>1.854283513095766</v>
      </c>
      <c r="AJ137" s="178">
        <f t="shared" si="177"/>
        <v>1.9661359356264934</v>
      </c>
      <c r="AL137" s="560">
        <f t="shared" si="178"/>
        <v>216.00000000000003</v>
      </c>
      <c r="AM137" s="470">
        <f t="shared" si="179"/>
        <v>350</v>
      </c>
      <c r="AO137" s="470">
        <f t="shared" si="180"/>
        <v>216.00000000000003</v>
      </c>
      <c r="AP137" s="470">
        <f t="shared" si="181"/>
        <v>350</v>
      </c>
      <c r="AR137" s="6">
        <f t="shared" si="214"/>
        <v>2.8571428571428572</v>
      </c>
      <c r="AS137" s="6">
        <f t="shared" si="211"/>
        <v>1.4422205101855958</v>
      </c>
      <c r="AT137" s="6">
        <f t="shared" si="212"/>
        <v>1.4149223469572614</v>
      </c>
      <c r="AU137" s="178">
        <f t="shared" si="213"/>
        <v>0.50477717856495852</v>
      </c>
      <c r="AW137" s="6">
        <f>L*Iout^2/(2*Vripple1_spec*Vout*Npri_sec1^2)*1000000000*((1+N137)/(1-N137))^2</f>
        <v>21.552126200274348</v>
      </c>
      <c r="AX137" s="6">
        <f>L*F137^2/(2*Cout*Vout*Nps^2)*1000000000*((1+N137)/(1-N137))^2+F137*RCoutEsr</f>
        <v>4.6594468085106389</v>
      </c>
      <c r="AY137" s="6">
        <f>L*Iout2^2/(2*Vout_ripple2*Vout2*Npri_sec2^2)*1000000000*((1+N137)/(1-N137))^2</f>
        <v>8.4187992969821668</v>
      </c>
      <c r="AZ137" s="6">
        <f>L*G137^2/(2*Cout2*Vout2*Npri_sec2^2)*1000000000*((1+N137)/(1-N137))^2+G137*CoutEsr2</f>
        <v>1.971971409574468</v>
      </c>
      <c r="BA137" s="6">
        <f>(H137+I137)/Efficiency/J137*AT137/Vinripple1</f>
        <v>1.0326450812881067</v>
      </c>
      <c r="BB137" s="6"/>
      <c r="BC137" s="6"/>
      <c r="BD137" s="178">
        <f t="shared" si="185"/>
        <v>0.76061584001773141</v>
      </c>
      <c r="BE137" s="178">
        <f t="shared" si="186"/>
        <v>0.75338303199216861</v>
      </c>
      <c r="BF137" s="178">
        <f t="shared" si="187"/>
        <v>0.4708643949951053</v>
      </c>
      <c r="BG137" s="178"/>
      <c r="BH137" s="543">
        <f t="shared" si="188"/>
        <v>6.3639010169446716E-2</v>
      </c>
      <c r="BI137" s="543">
        <f t="shared" si="189"/>
        <v>6.89561681432488E-2</v>
      </c>
      <c r="BJ137" s="543">
        <f t="shared" si="190"/>
        <v>1.7499999999999998E-2</v>
      </c>
      <c r="BK137" s="543">
        <f t="shared" si="191"/>
        <v>3.5560546875000001E-2</v>
      </c>
      <c r="BL137">
        <f t="shared" si="192"/>
        <v>2.6099999999999999E-3</v>
      </c>
      <c r="BM137" s="470">
        <f t="shared" si="193"/>
        <v>188.26572518769552</v>
      </c>
      <c r="BN137" s="178">
        <f t="shared" si="194"/>
        <v>8.6400000000000018E-2</v>
      </c>
      <c r="BO137" s="178">
        <f t="shared" si="195"/>
        <v>5.4000000000000006E-2</v>
      </c>
      <c r="BP137" s="543"/>
      <c r="BR137" s="470">
        <f t="shared" si="196"/>
        <v>140.40000000000003</v>
      </c>
      <c r="BS137" s="543">
        <f t="shared" si="197"/>
        <v>2.3141458243435168E-2</v>
      </c>
      <c r="BT137" s="543">
        <f t="shared" si="198"/>
        <v>2.2703439715748518E-2</v>
      </c>
      <c r="BU137" s="543">
        <f t="shared" si="199"/>
        <v>6.6513983542231961E-3</v>
      </c>
      <c r="BV137" s="543">
        <f t="shared" si="200"/>
        <v>0</v>
      </c>
      <c r="BW137" s="648">
        <f t="shared" si="201"/>
        <v>4.5128571428571448E-2</v>
      </c>
      <c r="BX137" s="470">
        <f t="shared" si="202"/>
        <v>97.624867741978335</v>
      </c>
      <c r="BY137" s="178">
        <f t="shared" si="203"/>
        <v>0.42629059292967386</v>
      </c>
      <c r="BZ137" s="6">
        <f t="shared" si="204"/>
        <v>4.2120000000000006</v>
      </c>
      <c r="CA137" s="178">
        <f t="shared" si="205"/>
        <v>0.90809316829361975</v>
      </c>
      <c r="CB137" s="6">
        <f t="shared" si="206"/>
        <v>90.809316829361975</v>
      </c>
      <c r="CC137">
        <f t="shared" si="207"/>
        <v>27</v>
      </c>
      <c r="CE137" s="577">
        <f t="shared" si="208"/>
        <v>-50</v>
      </c>
      <c r="CF137">
        <f t="shared" si="209"/>
        <v>-50</v>
      </c>
    </row>
    <row r="138" spans="5:84" x14ac:dyDescent="0.2">
      <c r="E138" s="175">
        <v>28</v>
      </c>
      <c r="F138" s="222">
        <f t="shared" si="210"/>
        <v>0.22400000000000003</v>
      </c>
      <c r="G138" s="222">
        <f t="shared" si="152"/>
        <v>0.14000000000000001</v>
      </c>
      <c r="H138" s="222">
        <f t="shared" si="153"/>
        <v>2.6880000000000006</v>
      </c>
      <c r="I138" s="222">
        <f t="shared" si="154"/>
        <v>1.6800000000000002</v>
      </c>
      <c r="J138" s="556">
        <f t="shared" si="155"/>
        <v>9</v>
      </c>
      <c r="K138" s="452">
        <f t="shared" si="156"/>
        <v>12.25</v>
      </c>
      <c r="L138" s="452">
        <f t="shared" si="157"/>
        <v>21.25</v>
      </c>
      <c r="M138" s="452"/>
      <c r="N138" s="222">
        <f t="shared" si="158"/>
        <v>0.57647058823529407</v>
      </c>
      <c r="O138" s="177">
        <f t="shared" si="159"/>
        <v>6.2179004524886858</v>
      </c>
      <c r="P138" s="177">
        <f t="shared" si="160"/>
        <v>6.3150551470588203</v>
      </c>
      <c r="Q138" s="222">
        <f t="shared" si="161"/>
        <v>0.51815837104072382</v>
      </c>
      <c r="R138" s="222">
        <f t="shared" si="162"/>
        <v>0.51815837104072382</v>
      </c>
      <c r="S138" s="222">
        <f t="shared" si="163"/>
        <v>12</v>
      </c>
      <c r="T138" s="222">
        <f t="shared" si="164"/>
        <v>1.772431077694236</v>
      </c>
      <c r="U138" s="222">
        <f t="shared" si="165"/>
        <v>1.3785575048732945</v>
      </c>
      <c r="V138" s="222">
        <f t="shared" si="166"/>
        <v>1.0128177586824205</v>
      </c>
      <c r="W138" s="202">
        <f t="shared" si="167"/>
        <v>350</v>
      </c>
      <c r="X138" s="452">
        <f t="shared" si="168"/>
        <v>350</v>
      </c>
      <c r="Z138" s="222">
        <f t="shared" si="169"/>
        <v>2.1176470588235294</v>
      </c>
      <c r="AA138" s="178">
        <f t="shared" si="170"/>
        <v>1.2100840336134453</v>
      </c>
      <c r="AB138" s="178">
        <f t="shared" si="171"/>
        <v>0.27596486558424271</v>
      </c>
      <c r="AC138" s="178"/>
      <c r="AD138" s="178">
        <f t="shared" si="172"/>
        <v>0.46857142857142853</v>
      </c>
      <c r="AE138" s="560">
        <f t="shared" si="173"/>
        <v>1165.97263533611</v>
      </c>
      <c r="AF138" s="543">
        <f t="shared" si="174"/>
        <v>6.723999999999998E-2</v>
      </c>
      <c r="AH138" s="178">
        <f t="shared" si="175"/>
        <v>1.8883099019266636</v>
      </c>
      <c r="AI138" s="178">
        <f t="shared" si="176"/>
        <v>1.8883099019266636</v>
      </c>
      <c r="AJ138" s="178">
        <f t="shared" si="177"/>
        <v>1.9913406680938248</v>
      </c>
      <c r="AL138" s="560">
        <f t="shared" si="178"/>
        <v>224.00000000000003</v>
      </c>
      <c r="AM138" s="470">
        <f t="shared" si="179"/>
        <v>350</v>
      </c>
      <c r="AO138" s="470">
        <f t="shared" si="180"/>
        <v>224.00000000000003</v>
      </c>
      <c r="AP138" s="470">
        <f t="shared" si="181"/>
        <v>350</v>
      </c>
      <c r="AR138" s="6">
        <f t="shared" si="214"/>
        <v>2.8571428571428572</v>
      </c>
      <c r="AS138" s="6">
        <f t="shared" si="211"/>
        <v>1.4686854792762938</v>
      </c>
      <c r="AT138" s="6">
        <f t="shared" si="212"/>
        <v>1.3884573778665634</v>
      </c>
      <c r="AU138" s="178">
        <f t="shared" si="213"/>
        <v>0.51403991774670277</v>
      </c>
      <c r="AW138" s="6">
        <f>L*Iout^2/(2*Vripple1_spec*Vout*Npri_sec1^2)*1000000000*((1+N138)/(1-N138))^2</f>
        <v>21.552126200274348</v>
      </c>
      <c r="AX138" s="6">
        <f>L*F138^2/(2*Cout*Vout*Nps^2)*1000000000*((1+N138)/(1-N138))^2+F138*RCoutEsr</f>
        <v>4.9860936870676831</v>
      </c>
      <c r="AY138" s="6">
        <f>L*Iout2^2/(2*Vout_ripple2*Vout2*Npri_sec2^2)*1000000000*((1+N138)/(1-N138))^2</f>
        <v>8.4187992969821668</v>
      </c>
      <c r="AZ138" s="6">
        <f>L*G138^2/(2*Cout2*Vout2*Npri_sec2^2)*1000000000*((1+N138)/(1-N138))^2+G138*CoutEsr2</f>
        <v>2.1051928465108132</v>
      </c>
      <c r="BA138" s="6">
        <f>(H138+I138)/Efficiency/J138*AT138/Vinripple1</f>
        <v>1.0508610485633354</v>
      </c>
      <c r="BB138" s="6"/>
      <c r="BC138" s="6"/>
      <c r="BD138" s="178">
        <f t="shared" si="185"/>
        <v>0.7816477207661634</v>
      </c>
      <c r="BE138" s="178">
        <f t="shared" si="186"/>
        <v>0.75999886130999594</v>
      </c>
      <c r="BF138" s="178">
        <f t="shared" si="187"/>
        <v>0.47499928831874738</v>
      </c>
      <c r="BG138" s="178"/>
      <c r="BH138" s="543">
        <f t="shared" si="188"/>
        <v>6.7207047531683203E-2</v>
      </c>
      <c r="BI138" s="543">
        <f t="shared" si="189"/>
        <v>7.0221524477897784E-2</v>
      </c>
      <c r="BJ138" s="543">
        <f t="shared" si="190"/>
        <v>1.7499999999999998E-2</v>
      </c>
      <c r="BK138" s="543">
        <f t="shared" si="191"/>
        <v>3.5560546875000001E-2</v>
      </c>
      <c r="BL138">
        <f t="shared" si="192"/>
        <v>2.6099999999999999E-3</v>
      </c>
      <c r="BM138" s="470">
        <f t="shared" si="193"/>
        <v>193.09911888458097</v>
      </c>
      <c r="BN138" s="178">
        <f t="shared" si="194"/>
        <v>8.9600000000000013E-2</v>
      </c>
      <c r="BO138" s="178">
        <f t="shared" si="195"/>
        <v>5.6000000000000008E-2</v>
      </c>
      <c r="BP138" s="543"/>
      <c r="BR138" s="470">
        <f t="shared" si="196"/>
        <v>145.6</v>
      </c>
      <c r="BS138" s="543">
        <f t="shared" si="197"/>
        <v>2.4438926375157526E-2</v>
      </c>
      <c r="BT138" s="543">
        <f t="shared" si="198"/>
        <v>2.3103930767699617E-2</v>
      </c>
      <c r="BU138" s="543">
        <f t="shared" si="199"/>
        <v>6.7687297170994946E-3</v>
      </c>
      <c r="BV138" s="543">
        <f t="shared" si="200"/>
        <v>0</v>
      </c>
      <c r="BW138" s="648">
        <f t="shared" si="201"/>
        <v>4.6800000000000008E-2</v>
      </c>
      <c r="BX138" s="470">
        <f t="shared" si="202"/>
        <v>101.11158685995663</v>
      </c>
      <c r="BY138" s="178">
        <f t="shared" si="203"/>
        <v>0.43981070574453768</v>
      </c>
      <c r="BZ138" s="6">
        <f t="shared" si="204"/>
        <v>4.3680000000000003</v>
      </c>
      <c r="CA138" s="178">
        <f t="shared" si="205"/>
        <v>0.90852162602428654</v>
      </c>
      <c r="CB138" s="6">
        <f t="shared" si="206"/>
        <v>90.852162602428649</v>
      </c>
      <c r="CC138">
        <f t="shared" si="207"/>
        <v>28.000000000000004</v>
      </c>
      <c r="CE138" s="577">
        <f t="shared" si="208"/>
        <v>-50</v>
      </c>
      <c r="CF138">
        <f t="shared" si="209"/>
        <v>-50</v>
      </c>
    </row>
    <row r="139" spans="5:84" x14ac:dyDescent="0.2">
      <c r="E139" s="175">
        <v>29</v>
      </c>
      <c r="F139" s="222">
        <f t="shared" si="210"/>
        <v>0.23199999999999998</v>
      </c>
      <c r="G139" s="222">
        <f t="shared" si="152"/>
        <v>0.14499999999999999</v>
      </c>
      <c r="H139" s="222">
        <f t="shared" si="153"/>
        <v>2.7839999999999998</v>
      </c>
      <c r="I139" s="222">
        <f t="shared" si="154"/>
        <v>1.7399999999999998</v>
      </c>
      <c r="J139" s="556">
        <f t="shared" si="155"/>
        <v>9</v>
      </c>
      <c r="K139" s="452">
        <f t="shared" si="156"/>
        <v>12.25</v>
      </c>
      <c r="L139" s="452">
        <f t="shared" si="157"/>
        <v>21.25</v>
      </c>
      <c r="M139" s="452"/>
      <c r="N139" s="222">
        <f t="shared" si="158"/>
        <v>0.57647058823529407</v>
      </c>
      <c r="O139" s="177">
        <f t="shared" si="159"/>
        <v>6.2179004524886858</v>
      </c>
      <c r="P139" s="177">
        <f t="shared" si="160"/>
        <v>6.3150551470588203</v>
      </c>
      <c r="Q139" s="222">
        <f t="shared" si="161"/>
        <v>0.51815837104072382</v>
      </c>
      <c r="R139" s="222">
        <f t="shared" si="162"/>
        <v>0.51815837104072382</v>
      </c>
      <c r="S139" s="222">
        <f t="shared" si="163"/>
        <v>12</v>
      </c>
      <c r="T139" s="222">
        <f t="shared" si="164"/>
        <v>1.8357321876118868</v>
      </c>
      <c r="U139" s="222">
        <f t="shared" si="165"/>
        <v>1.4277917014759118</v>
      </c>
      <c r="V139" s="222">
        <f t="shared" si="166"/>
        <v>1.0489898214925066</v>
      </c>
      <c r="W139" s="202">
        <f t="shared" si="167"/>
        <v>350</v>
      </c>
      <c r="X139" s="452">
        <f t="shared" si="168"/>
        <v>350</v>
      </c>
      <c r="Z139" s="222">
        <f t="shared" si="169"/>
        <v>2.1176470588235294</v>
      </c>
      <c r="AA139" s="178">
        <f t="shared" si="170"/>
        <v>1.2100840336134453</v>
      </c>
      <c r="AB139" s="178">
        <f t="shared" si="171"/>
        <v>0.27596486558424271</v>
      </c>
      <c r="AC139" s="178"/>
      <c r="AD139" s="178">
        <f t="shared" si="172"/>
        <v>0.46857142857142853</v>
      </c>
      <c r="AE139" s="560">
        <f t="shared" si="173"/>
        <v>1207.6145151695421</v>
      </c>
      <c r="AF139" s="543">
        <f t="shared" si="174"/>
        <v>6.723999999999998E-2</v>
      </c>
      <c r="AH139" s="178">
        <f t="shared" si="175"/>
        <v>1.9217339109485982</v>
      </c>
      <c r="AI139" s="178">
        <f t="shared" si="176"/>
        <v>1.9217339109485982</v>
      </c>
      <c r="AJ139" s="178">
        <f t="shared" si="177"/>
        <v>2.0160991932952577</v>
      </c>
      <c r="AL139" s="560">
        <f t="shared" si="178"/>
        <v>231.99999999999997</v>
      </c>
      <c r="AM139" s="470">
        <f t="shared" si="179"/>
        <v>350</v>
      </c>
      <c r="AO139" s="470">
        <f t="shared" si="180"/>
        <v>231.99999999999997</v>
      </c>
      <c r="AP139" s="470">
        <f t="shared" si="181"/>
        <v>350</v>
      </c>
      <c r="AR139" s="6">
        <f t="shared" si="214"/>
        <v>2.8571428571428572</v>
      </c>
      <c r="AS139" s="6">
        <f t="shared" si="211"/>
        <v>1.4946819307377985</v>
      </c>
      <c r="AT139" s="6">
        <f t="shared" si="212"/>
        <v>1.3624609264050587</v>
      </c>
      <c r="AU139" s="178">
        <f t="shared" si="213"/>
        <v>0.52313867575822948</v>
      </c>
      <c r="AW139" s="6">
        <f>L*Iout^2/(2*Vripple1_spec*Vout*Npri_sec1^2)*1000000000*((1+N139)/(1-N139))^2</f>
        <v>21.552126200274348</v>
      </c>
      <c r="AX139" s="6">
        <f>L*F139^2/(2*Cout*Vout*Nps^2)*1000000000*((1+N139)/(1-N139))^2+F139*RCoutEsr</f>
        <v>5.3237459066631629</v>
      </c>
      <c r="AY139" s="6">
        <f>L*Iout2^2/(2*Vout_ripple2*Vout2*Npri_sec2^2)*1000000000*((1+N139)/(1-N139))^2</f>
        <v>8.4187992969821668</v>
      </c>
      <c r="AZ139" s="6">
        <f>L*G139^2/(2*Cout2*Vout2*Npri_sec2^2)*1000000000*((1+N139)/(1-N139))^2+G139*CoutEsr2</f>
        <v>2.2427132447902984</v>
      </c>
      <c r="BA139" s="6">
        <f>(H139+I139)/Efficiency/J139*AT139/Vinripple1</f>
        <v>1.0680135553054335</v>
      </c>
      <c r="BB139" s="6"/>
      <c r="BC139" s="6"/>
      <c r="BD139" s="178">
        <f t="shared" si="185"/>
        <v>0.80249260816401646</v>
      </c>
      <c r="BE139" s="178">
        <f t="shared" si="186"/>
        <v>0.76617623429951121</v>
      </c>
      <c r="BF139" s="178">
        <f t="shared" si="187"/>
        <v>0.47886014643719443</v>
      </c>
      <c r="BG139" s="178"/>
      <c r="BH139" s="543">
        <f t="shared" si="188"/>
        <v>7.0839382477367416E-2</v>
      </c>
      <c r="BI139" s="543">
        <f t="shared" si="189"/>
        <v>7.1464479813400997E-2</v>
      </c>
      <c r="BJ139" s="543">
        <f t="shared" si="190"/>
        <v>1.7499999999999998E-2</v>
      </c>
      <c r="BK139" s="543">
        <f t="shared" si="191"/>
        <v>3.5560546875000001E-2</v>
      </c>
      <c r="BL139">
        <f t="shared" si="192"/>
        <v>2.6099999999999999E-3</v>
      </c>
      <c r="BM139" s="470">
        <f t="shared" si="193"/>
        <v>197.97440916576841</v>
      </c>
      <c r="BN139" s="178">
        <f t="shared" si="194"/>
        <v>9.2799999999999994E-2</v>
      </c>
      <c r="BO139" s="178">
        <f t="shared" si="195"/>
        <v>5.7999999999999996E-2</v>
      </c>
      <c r="BP139" s="543"/>
      <c r="BR139" s="470">
        <f t="shared" si="196"/>
        <v>150.79999999999998</v>
      </c>
      <c r="BS139" s="543">
        <f t="shared" si="197"/>
        <v>2.5759775446315424E-2</v>
      </c>
      <c r="BT139" s="543">
        <f t="shared" si="198"/>
        <v>2.348104088021518E-2</v>
      </c>
      <c r="BU139" s="543">
        <f t="shared" si="199"/>
        <v>6.8792111953755383E-3</v>
      </c>
      <c r="BV139" s="543">
        <f t="shared" si="200"/>
        <v>0</v>
      </c>
      <c r="BW139" s="648">
        <f t="shared" si="201"/>
        <v>4.8471428571428568E-2</v>
      </c>
      <c r="BX139" s="470">
        <f t="shared" si="202"/>
        <v>104.5914560933347</v>
      </c>
      <c r="BY139" s="178">
        <f t="shared" si="203"/>
        <v>0.45336586525910311</v>
      </c>
      <c r="BZ139" s="6">
        <f t="shared" si="204"/>
        <v>4.5239999999999991</v>
      </c>
      <c r="CA139" s="178">
        <f t="shared" si="205"/>
        <v>0.90891449864606189</v>
      </c>
      <c r="CB139" s="6">
        <f t="shared" si="206"/>
        <v>90.891449864606187</v>
      </c>
      <c r="CC139">
        <f t="shared" si="207"/>
        <v>28.999999999999996</v>
      </c>
      <c r="CE139" s="577">
        <f t="shared" si="208"/>
        <v>-50</v>
      </c>
      <c r="CF139">
        <f t="shared" si="209"/>
        <v>-50</v>
      </c>
    </row>
    <row r="140" spans="5:84" x14ac:dyDescent="0.2">
      <c r="E140" s="175">
        <v>30</v>
      </c>
      <c r="F140" s="222">
        <f t="shared" si="210"/>
        <v>0.24</v>
      </c>
      <c r="G140" s="222">
        <f t="shared" si="152"/>
        <v>0.15</v>
      </c>
      <c r="H140" s="222">
        <f t="shared" si="153"/>
        <v>2.88</v>
      </c>
      <c r="I140" s="222">
        <f t="shared" si="154"/>
        <v>1.7999999999999998</v>
      </c>
      <c r="J140" s="556">
        <f t="shared" si="155"/>
        <v>9</v>
      </c>
      <c r="K140" s="452">
        <f t="shared" si="156"/>
        <v>12.25</v>
      </c>
      <c r="L140" s="452">
        <f t="shared" si="157"/>
        <v>21.25</v>
      </c>
      <c r="M140" s="452"/>
      <c r="N140" s="222">
        <f t="shared" si="158"/>
        <v>0.57647058823529407</v>
      </c>
      <c r="O140" s="177">
        <f t="shared" si="159"/>
        <v>6.2179004524886858</v>
      </c>
      <c r="P140" s="177">
        <f t="shared" si="160"/>
        <v>6.3150551470588203</v>
      </c>
      <c r="Q140" s="222">
        <f t="shared" si="161"/>
        <v>0.51815837104072382</v>
      </c>
      <c r="R140" s="222">
        <f t="shared" si="162"/>
        <v>0.51815837104072382</v>
      </c>
      <c r="S140" s="222">
        <f t="shared" si="163"/>
        <v>12</v>
      </c>
      <c r="T140" s="222">
        <f t="shared" si="164"/>
        <v>1.8990332975295383</v>
      </c>
      <c r="U140" s="222">
        <f t="shared" si="165"/>
        <v>1.4770258980785296</v>
      </c>
      <c r="V140" s="222">
        <f t="shared" si="166"/>
        <v>1.0851618843025932</v>
      </c>
      <c r="W140" s="202">
        <f t="shared" si="167"/>
        <v>350</v>
      </c>
      <c r="X140" s="452">
        <f t="shared" si="168"/>
        <v>350</v>
      </c>
      <c r="Z140" s="222">
        <f t="shared" si="169"/>
        <v>2.1176470588235294</v>
      </c>
      <c r="AA140" s="178">
        <f t="shared" si="170"/>
        <v>1.2100840336134453</v>
      </c>
      <c r="AB140" s="178">
        <f t="shared" si="171"/>
        <v>0.27596486558424271</v>
      </c>
      <c r="AC140" s="178"/>
      <c r="AD140" s="178">
        <f t="shared" si="172"/>
        <v>0.46857142857142853</v>
      </c>
      <c r="AE140" s="560">
        <f t="shared" si="173"/>
        <v>1249.2563950029746</v>
      </c>
      <c r="AF140" s="543">
        <f t="shared" si="174"/>
        <v>6.723999999999998E-2</v>
      </c>
      <c r="AH140" s="178">
        <f t="shared" si="175"/>
        <v>1.9545864430270936</v>
      </c>
      <c r="AI140" s="178">
        <f t="shared" si="176"/>
        <v>1.9545864430270936</v>
      </c>
      <c r="AJ140" s="178">
        <f t="shared" si="177"/>
        <v>2.0404344022422918</v>
      </c>
      <c r="AL140" s="560">
        <f t="shared" si="178"/>
        <v>240</v>
      </c>
      <c r="AM140" s="470">
        <f t="shared" si="179"/>
        <v>350</v>
      </c>
      <c r="AO140" s="470">
        <f t="shared" si="180"/>
        <v>240</v>
      </c>
      <c r="AP140" s="470">
        <f t="shared" si="181"/>
        <v>350</v>
      </c>
      <c r="AR140" s="6">
        <f t="shared" si="214"/>
        <v>2.8571428571428572</v>
      </c>
      <c r="AS140" s="6">
        <f t="shared" si="211"/>
        <v>1.5202339001321838</v>
      </c>
      <c r="AT140" s="6">
        <f t="shared" si="212"/>
        <v>1.3369089570106734</v>
      </c>
      <c r="AU140" s="178">
        <f t="shared" si="213"/>
        <v>0.53208186504626431</v>
      </c>
      <c r="AW140" s="6">
        <f>L*Iout^2/(2*Vripple1_spec*Vout*Npri_sec1^2)*1000000000*((1+N140)/(1-N140))^2</f>
        <v>21.552126200274348</v>
      </c>
      <c r="AX140" s="6">
        <f>L*F140^2/(2*Cout*Vout*Nps^2)*1000000000*((1+N140)/(1-N140))^2+F140*RCoutEsr</f>
        <v>5.6724034672970829</v>
      </c>
      <c r="AY140" s="6">
        <f>L*Iout2^2/(2*Vout_ripple2*Vout2*Npri_sec2^2)*1000000000*((1+N140)/(1-N140))^2</f>
        <v>8.4187992969821668</v>
      </c>
      <c r="AZ140" s="6">
        <f>L*G140^2/(2*Cout2*Vout2*Npri_sec2^2)*1000000000*((1+N140)/(1-N140))^2+G140*CoutEsr2</f>
        <v>2.3845326044129234</v>
      </c>
      <c r="BA140" s="6">
        <f>(H140+I140)/Efficiency/J140*AT140/Vinripple1</f>
        <v>1.0841211035408189</v>
      </c>
      <c r="BB140" s="6"/>
      <c r="BC140" s="6"/>
      <c r="BD140" s="178">
        <f t="shared" si="185"/>
        <v>0.82315853085299373</v>
      </c>
      <c r="BE140" s="178">
        <f t="shared" si="186"/>
        <v>0.77193226441122609</v>
      </c>
      <c r="BF140" s="178">
        <f t="shared" si="187"/>
        <v>0.48245766525701622</v>
      </c>
      <c r="BG140" s="178"/>
      <c r="BH140" s="543">
        <f t="shared" si="188"/>
        <v>7.4534896360766489E-2</v>
      </c>
      <c r="BI140" s="543">
        <f t="shared" si="189"/>
        <v>7.2686183350070058E-2</v>
      </c>
      <c r="BJ140" s="543">
        <f t="shared" si="190"/>
        <v>1.7499999999999998E-2</v>
      </c>
      <c r="BK140" s="543">
        <f t="shared" si="191"/>
        <v>3.5560546875000001E-2</v>
      </c>
      <c r="BL140">
        <f t="shared" si="192"/>
        <v>2.6099999999999999E-3</v>
      </c>
      <c r="BM140" s="470">
        <f t="shared" si="193"/>
        <v>202.89162658583655</v>
      </c>
      <c r="BN140" s="178">
        <f t="shared" si="194"/>
        <v>9.6000000000000002E-2</v>
      </c>
      <c r="BO140" s="178">
        <f t="shared" si="195"/>
        <v>0.06</v>
      </c>
      <c r="BP140" s="543"/>
      <c r="BR140" s="470">
        <f t="shared" si="196"/>
        <v>156</v>
      </c>
      <c r="BS140" s="543">
        <f t="shared" si="197"/>
        <v>2.710359867664236E-2</v>
      </c>
      <c r="BT140" s="543">
        <f t="shared" si="198"/>
        <v>2.3835176833561726E-2</v>
      </c>
      <c r="BU140" s="543">
        <f t="shared" si="199"/>
        <v>6.9829619629575334E-3</v>
      </c>
      <c r="BV140" s="543">
        <f t="shared" si="200"/>
        <v>0</v>
      </c>
      <c r="BW140" s="648">
        <f t="shared" si="201"/>
        <v>5.0142857142857149E-2</v>
      </c>
      <c r="BX140" s="470">
        <f t="shared" si="202"/>
        <v>108.06459461601878</v>
      </c>
      <c r="BY140" s="178">
        <f t="shared" si="203"/>
        <v>0.46695622120185537</v>
      </c>
      <c r="BZ140" s="6">
        <f t="shared" si="204"/>
        <v>4.68</v>
      </c>
      <c r="CA140" s="178">
        <f t="shared" si="205"/>
        <v>0.90927526850173646</v>
      </c>
      <c r="CB140" s="6">
        <f t="shared" si="206"/>
        <v>90.927526850173649</v>
      </c>
      <c r="CC140">
        <f t="shared" si="207"/>
        <v>30</v>
      </c>
      <c r="CE140" s="577">
        <f t="shared" si="208"/>
        <v>-50</v>
      </c>
      <c r="CF140">
        <f t="shared" si="209"/>
        <v>-50</v>
      </c>
    </row>
    <row r="141" spans="5:84" x14ac:dyDescent="0.2">
      <c r="E141" s="175">
        <v>31</v>
      </c>
      <c r="F141" s="222">
        <f t="shared" si="210"/>
        <v>0.248</v>
      </c>
      <c r="G141" s="222">
        <f t="shared" si="152"/>
        <v>0.155</v>
      </c>
      <c r="H141" s="222">
        <f t="shared" si="153"/>
        <v>2.976</v>
      </c>
      <c r="I141" s="222">
        <f t="shared" si="154"/>
        <v>1.8599999999999999</v>
      </c>
      <c r="J141" s="556">
        <f t="shared" si="155"/>
        <v>9</v>
      </c>
      <c r="K141" s="452">
        <f t="shared" si="156"/>
        <v>12.25</v>
      </c>
      <c r="L141" s="452">
        <f t="shared" si="157"/>
        <v>21.25</v>
      </c>
      <c r="M141" s="452"/>
      <c r="N141" s="222">
        <f t="shared" si="158"/>
        <v>0.57647058823529407</v>
      </c>
      <c r="O141" s="177">
        <f t="shared" si="159"/>
        <v>6.2179004524886858</v>
      </c>
      <c r="P141" s="177">
        <f t="shared" si="160"/>
        <v>6.3150551470588203</v>
      </c>
      <c r="Q141" s="222">
        <f t="shared" si="161"/>
        <v>0.51815837104072382</v>
      </c>
      <c r="R141" s="222">
        <f t="shared" si="162"/>
        <v>0.51815837104072382</v>
      </c>
      <c r="S141" s="222">
        <f t="shared" si="163"/>
        <v>12</v>
      </c>
      <c r="T141" s="222">
        <f t="shared" si="164"/>
        <v>1.96233440744719</v>
      </c>
      <c r="U141" s="222">
        <f t="shared" si="165"/>
        <v>1.5262600946811478</v>
      </c>
      <c r="V141" s="222">
        <f t="shared" si="166"/>
        <v>1.12133394711268</v>
      </c>
      <c r="W141" s="202">
        <f t="shared" si="167"/>
        <v>350</v>
      </c>
      <c r="X141" s="452">
        <f t="shared" si="168"/>
        <v>350</v>
      </c>
      <c r="Z141" s="222">
        <f t="shared" si="169"/>
        <v>2.1176470588235294</v>
      </c>
      <c r="AA141" s="178">
        <f t="shared" si="170"/>
        <v>1.2100840336134453</v>
      </c>
      <c r="AB141" s="178">
        <f t="shared" si="171"/>
        <v>0.27596486558424271</v>
      </c>
      <c r="AC141" s="178"/>
      <c r="AD141" s="178">
        <f t="shared" si="172"/>
        <v>0.46857142857142853</v>
      </c>
      <c r="AE141" s="560">
        <f t="shared" si="173"/>
        <v>1290.8982748364072</v>
      </c>
      <c r="AF141" s="543">
        <f t="shared" si="174"/>
        <v>6.723999999999998E-2</v>
      </c>
      <c r="AH141" s="178">
        <f t="shared" si="175"/>
        <v>1.9868958457958525</v>
      </c>
      <c r="AI141" s="178">
        <f t="shared" si="176"/>
        <v>1.9868958457958525</v>
      </c>
      <c r="AJ141" s="178">
        <f t="shared" si="177"/>
        <v>2.0643672931821131</v>
      </c>
      <c r="AL141" s="560">
        <f t="shared" si="178"/>
        <v>248</v>
      </c>
      <c r="AM141" s="470">
        <f t="shared" si="179"/>
        <v>350</v>
      </c>
      <c r="AO141" s="470">
        <f t="shared" si="180"/>
        <v>248</v>
      </c>
      <c r="AP141" s="470">
        <f t="shared" si="181"/>
        <v>350</v>
      </c>
      <c r="AR141" s="6">
        <f t="shared" si="214"/>
        <v>2.8571428571428572</v>
      </c>
      <c r="AS141" s="6">
        <f t="shared" si="211"/>
        <v>1.5453634356189963</v>
      </c>
      <c r="AT141" s="6">
        <f t="shared" si="212"/>
        <v>1.311779421523861</v>
      </c>
      <c r="AU141" s="178">
        <f t="shared" si="213"/>
        <v>0.54087720246664872</v>
      </c>
      <c r="AW141" s="6">
        <f>L*Iout^2/(2*Vripple1_spec*Vout*Npri_sec1^2)*1000000000*((1+N141)/(1-N141))^2</f>
        <v>21.552126200274348</v>
      </c>
      <c r="AX141" s="6">
        <f>L*F141^2/(2*Cout*Vout*Nps^2)*1000000000*((1+N141)/(1-N141))^2+F141*RCoutEsr</f>
        <v>6.0320663689694412</v>
      </c>
      <c r="AY141" s="6">
        <f>L*Iout2^2/(2*Vout_ripple2*Vout2*Npri_sec2^2)*1000000000*((1+N141)/(1-N141))^2</f>
        <v>8.4187992969821668</v>
      </c>
      <c r="AZ141" s="6">
        <f>L*G141^2/(2*Cout2*Vout2*Npri_sec2^2)*1000000000*((1+N141)/(1-N141))^2+G141*CoutEsr2</f>
        <v>2.530650925378688</v>
      </c>
      <c r="BA141" s="6">
        <f>(H141+I141)/Efficiency/J141*AT141/Vinripple1</f>
        <v>1.0992012618565115</v>
      </c>
      <c r="BB141" s="6"/>
      <c r="BC141" s="6"/>
      <c r="BD141" s="178">
        <f t="shared" si="185"/>
        <v>0.84365291749930671</v>
      </c>
      <c r="BE141" s="178">
        <f t="shared" si="186"/>
        <v>0.77728252401674824</v>
      </c>
      <c r="BF141" s="178">
        <f t="shared" si="187"/>
        <v>0.48580157751046754</v>
      </c>
      <c r="BG141" s="178"/>
      <c r="BH141" s="543">
        <f t="shared" si="188"/>
        <v>7.8292526972560117E-2</v>
      </c>
      <c r="BI141" s="543">
        <f t="shared" si="189"/>
        <v>7.3887689265533282E-2</v>
      </c>
      <c r="BJ141" s="543">
        <f t="shared" si="190"/>
        <v>1.7499999999999998E-2</v>
      </c>
      <c r="BK141" s="543">
        <f t="shared" si="191"/>
        <v>3.5560546875000001E-2</v>
      </c>
      <c r="BL141">
        <f t="shared" si="192"/>
        <v>2.6099999999999999E-3</v>
      </c>
      <c r="BM141" s="470">
        <f t="shared" si="193"/>
        <v>207.85076311309342</v>
      </c>
      <c r="BN141" s="178">
        <f t="shared" si="194"/>
        <v>9.920000000000001E-2</v>
      </c>
      <c r="BO141" s="178">
        <f t="shared" si="195"/>
        <v>6.2E-2</v>
      </c>
      <c r="BP141" s="543"/>
      <c r="BR141" s="470">
        <f t="shared" si="196"/>
        <v>161.20000000000002</v>
      </c>
      <c r="BS141" s="543">
        <f t="shared" si="197"/>
        <v>2.8470009808203682E-2</v>
      </c>
      <c r="BT141" s="543">
        <f t="shared" si="198"/>
        <v>2.4166724885673872E-2</v>
      </c>
      <c r="BU141" s="543">
        <f t="shared" si="199"/>
        <v>7.080095181349764E-3</v>
      </c>
      <c r="BV141" s="543">
        <f t="shared" si="200"/>
        <v>0</v>
      </c>
      <c r="BW141" s="648">
        <f t="shared" si="201"/>
        <v>5.1814285714285722E-2</v>
      </c>
      <c r="BX141" s="470">
        <f t="shared" si="202"/>
        <v>111.53111558951304</v>
      </c>
      <c r="BY141" s="178">
        <f t="shared" si="203"/>
        <v>0.48058187870260649</v>
      </c>
      <c r="BZ141" s="6">
        <f t="shared" si="204"/>
        <v>4.8360000000000003</v>
      </c>
      <c r="CA141" s="178">
        <f t="shared" si="205"/>
        <v>0.90960698251864747</v>
      </c>
      <c r="CB141" s="6">
        <f t="shared" si="206"/>
        <v>90.960698251864741</v>
      </c>
      <c r="CC141">
        <f t="shared" si="207"/>
        <v>31</v>
      </c>
      <c r="CE141" s="577">
        <f t="shared" si="208"/>
        <v>-50</v>
      </c>
      <c r="CF141">
        <f t="shared" si="209"/>
        <v>-50</v>
      </c>
    </row>
    <row r="142" spans="5:84" x14ac:dyDescent="0.2">
      <c r="E142" s="175">
        <v>32</v>
      </c>
      <c r="F142" s="222">
        <f t="shared" si="210"/>
        <v>0.25600000000000001</v>
      </c>
      <c r="G142" s="222">
        <f t="shared" ref="G142:G173" si="215">IF(PLOT_TYPE=1, E142/100*Iout2, min_I*EXP(Q142*rr/100))</f>
        <v>0.16</v>
      </c>
      <c r="H142" s="222">
        <f t="shared" ref="H142:H173" si="216">F142*Vout</f>
        <v>3.0720000000000001</v>
      </c>
      <c r="I142" s="222">
        <f t="shared" ref="I142:I173" si="217">Vout2*G142</f>
        <v>1.92</v>
      </c>
      <c r="J142" s="556">
        <f t="shared" si="155"/>
        <v>9</v>
      </c>
      <c r="K142" s="452">
        <f t="shared" si="156"/>
        <v>12.25</v>
      </c>
      <c r="L142" s="452">
        <f t="shared" si="157"/>
        <v>21.25</v>
      </c>
      <c r="M142" s="452"/>
      <c r="N142" s="222">
        <f t="shared" si="158"/>
        <v>0.57647058823529407</v>
      </c>
      <c r="O142" s="177">
        <f t="shared" ref="O142:O173" si="218">N142*J142*Isw_max*0.5*Efficiency*Pout/(Pout+Pout2)</f>
        <v>6.2179004524886858</v>
      </c>
      <c r="P142" s="177">
        <f t="shared" ref="P142:P173" si="219">N142*J142*Isw_max*0.5*Efficiency*(Pout2/Pout_total)</f>
        <v>6.3150551470588203</v>
      </c>
      <c r="Q142" s="222">
        <f t="shared" si="161"/>
        <v>0.51815837104072382</v>
      </c>
      <c r="R142" s="222">
        <f t="shared" ref="R142:R173" si="220">O142/Vout2</f>
        <v>0.51815837104072382</v>
      </c>
      <c r="S142" s="222">
        <f t="shared" ref="S142:S173" si="221">MIN(Vout,O142/F142)</f>
        <v>12</v>
      </c>
      <c r="T142" s="222">
        <f t="shared" ref="T142:T173" si="222">MIN(2*(Vout*F142+Vout2*G142)/(Efficiency*J142*N142), Isw_max)</f>
        <v>2.025635517364841</v>
      </c>
      <c r="U142" s="222">
        <f t="shared" si="165"/>
        <v>1.5754942912837653</v>
      </c>
      <c r="V142" s="222">
        <f t="shared" si="166"/>
        <v>1.1575060099227663</v>
      </c>
      <c r="W142" s="202">
        <f t="shared" si="167"/>
        <v>350</v>
      </c>
      <c r="X142" s="452">
        <f t="shared" si="168"/>
        <v>350</v>
      </c>
      <c r="Z142" s="222">
        <f t="shared" si="169"/>
        <v>2.1176470588235294</v>
      </c>
      <c r="AA142" s="178">
        <f t="shared" si="170"/>
        <v>1.2100840336134453</v>
      </c>
      <c r="AB142" s="178">
        <f t="shared" ref="AB142:AB173" si="223">0.5*AA142*Z142*Nps*W142/1000*(Pout/(Pout+Pout2))</f>
        <v>0.27596486558424271</v>
      </c>
      <c r="AC142" s="178"/>
      <c r="AD142" s="178">
        <f t="shared" si="172"/>
        <v>0.46857142857142853</v>
      </c>
      <c r="AE142" s="560">
        <f t="shared" ref="AE142:AE173" si="224">MAX(10, F142/(0.5*AD142/1000000*Isw_min*Nps)/1000*Pout_total/Pout)</f>
        <v>1332.5401546698397</v>
      </c>
      <c r="AF142" s="543">
        <f t="shared" ref="AF142:AF173" si="225">0.5*AD142/1000000*Isw_min*Nps*W142*1000*(Pout/Pout_total)</f>
        <v>6.723999999999998E-2</v>
      </c>
      <c r="AH142" s="178">
        <f t="shared" ref="AH142:AH173" si="226">SQRT((H142+I142)/(0.5*L*Fsw_DCM))</f>
        <v>2.0186881980177938</v>
      </c>
      <c r="AI142" s="178">
        <f t="shared" ref="AI142:AI173" si="227">MAX(IF(F142&gt;AB142,T142,AH142),Isw_min)</f>
        <v>2.0186881980177938</v>
      </c>
      <c r="AJ142" s="178">
        <f t="shared" ref="AJ142:AJ173" si="228">IF(F142&gt;AF142, (AI142-Isw_min)/1.08*0.8+1.2, AE142*0.2/350+1)</f>
        <v>2.0879171837168844</v>
      </c>
      <c r="AL142" s="560">
        <f t="shared" ref="AL142:AL173" si="229">F142*1000</f>
        <v>256</v>
      </c>
      <c r="AM142" s="470">
        <f t="shared" ref="AM142:AM173" si="230">IF(F142&gt;AF142, X142, AE142)</f>
        <v>350</v>
      </c>
      <c r="AO142" s="470">
        <f t="shared" si="180"/>
        <v>256</v>
      </c>
      <c r="AP142" s="470">
        <f t="shared" si="181"/>
        <v>350</v>
      </c>
      <c r="AR142" s="6">
        <f t="shared" si="214"/>
        <v>2.8571428571428572</v>
      </c>
      <c r="AS142" s="6">
        <f t="shared" si="211"/>
        <v>1.5700908206805062</v>
      </c>
      <c r="AT142" s="6">
        <f t="shared" si="212"/>
        <v>1.287052036462351</v>
      </c>
      <c r="AU142" s="178">
        <f t="shared" si="213"/>
        <v>0.54953178723817719</v>
      </c>
      <c r="AW142" s="6">
        <f>L*Iout^2/(2*Vripple1_spec*Vout*Npri_sec1^2)*1000000000*((1+N142)/(1-N142))^2</f>
        <v>21.552126200274348</v>
      </c>
      <c r="AX142" s="6">
        <f>L*F142^2/(2*Cout*Vout*Nps^2)*1000000000*((1+N142)/(1-N142))^2+F142*RCoutEsr</f>
        <v>6.4027346116802368</v>
      </c>
      <c r="AY142" s="6">
        <f>L*Iout2^2/(2*Vout_ripple2*Vout2*Npri_sec2^2)*1000000000*((1+N142)/(1-N142))^2</f>
        <v>8.4187992969821668</v>
      </c>
      <c r="AZ142" s="6">
        <f>L*G142^2/(2*Cout2*Vout2*Npri_sec2^2)*1000000000*((1+N142)/(1-N142))^2+G142*CoutEsr2</f>
        <v>2.6810682076875931</v>
      </c>
      <c r="BA142" s="6">
        <f>(H142+I142)/Efficiency/J142*AT142/Vinripple1</f>
        <v>1.1132707413506702</v>
      </c>
      <c r="BB142" s="6"/>
      <c r="BC142" s="6"/>
      <c r="BD142" s="178">
        <f t="shared" si="185"/>
        <v>0.86398265948411634</v>
      </c>
      <c r="BE142" s="178">
        <f t="shared" si="186"/>
        <v>0.78224121027310312</v>
      </c>
      <c r="BF142" s="178">
        <f t="shared" si="187"/>
        <v>0.48890075642068936</v>
      </c>
      <c r="BG142" s="178"/>
      <c r="BH142" s="543">
        <f t="shared" si="188"/>
        <v>8.211126394781712E-2</v>
      </c>
      <c r="BI142" s="543">
        <f t="shared" si="189"/>
        <v>7.5069967363786697E-2</v>
      </c>
      <c r="BJ142" s="543">
        <f t="shared" si="190"/>
        <v>1.7499999999999998E-2</v>
      </c>
      <c r="BK142" s="543">
        <f t="shared" si="191"/>
        <v>3.5560546875000001E-2</v>
      </c>
      <c r="BL142">
        <f t="shared" si="192"/>
        <v>2.6099999999999999E-3</v>
      </c>
      <c r="BM142" s="470">
        <f t="shared" si="193"/>
        <v>212.85177818660384</v>
      </c>
      <c r="BN142" s="178">
        <f t="shared" si="194"/>
        <v>0.1024</v>
      </c>
      <c r="BO142" s="178">
        <f t="shared" si="195"/>
        <v>6.4000000000000001E-2</v>
      </c>
      <c r="BP142" s="543"/>
      <c r="BR142" s="470">
        <f t="shared" si="196"/>
        <v>166.4</v>
      </c>
      <c r="BS142" s="543">
        <f t="shared" si="197"/>
        <v>2.9858641435569863E-2</v>
      </c>
      <c r="BT142" s="543">
        <f t="shared" si="198"/>
        <v>2.4476052441981169E-2</v>
      </c>
      <c r="BU142" s="543">
        <f t="shared" si="199"/>
        <v>7.1707184888616668E-3</v>
      </c>
      <c r="BV142" s="543">
        <f t="shared" si="200"/>
        <v>0</v>
      </c>
      <c r="BW142" s="648">
        <f t="shared" ref="BW142:BW173" si="231">0.5*Lleak*0.000000001*AI142^2*AM142*1000</f>
        <v>5.3485714285714303E-2</v>
      </c>
      <c r="BX142" s="470">
        <f t="shared" si="202"/>
        <v>114.99112665212701</v>
      </c>
      <c r="BY142" s="178">
        <f t="shared" si="203"/>
        <v>0.49424290483873085</v>
      </c>
      <c r="BZ142" s="6">
        <f t="shared" si="204"/>
        <v>4.992</v>
      </c>
      <c r="CA142" s="178">
        <f t="shared" si="205"/>
        <v>0.90991231824554819</v>
      </c>
      <c r="CB142" s="6">
        <f t="shared" si="206"/>
        <v>90.991231824554816</v>
      </c>
      <c r="CC142">
        <f t="shared" si="207"/>
        <v>32</v>
      </c>
      <c r="CE142" s="577">
        <f t="shared" ref="CE142:CE173" si="232">IF(ABS(F142-Ioutmax_Vinmin)&lt;Iout/200, AM142, -50)</f>
        <v>-50</v>
      </c>
      <c r="CF142">
        <f t="shared" ref="CF142:CF173" si="233">IF(ABS(F142-Ioutmax_Vinmin)&lt;Iout/200, (O142+P142)*CA142, -50)</f>
        <v>-50</v>
      </c>
    </row>
    <row r="143" spans="5:84" x14ac:dyDescent="0.2">
      <c r="E143" s="175">
        <v>33</v>
      </c>
      <c r="F143" s="222">
        <f t="shared" ref="F143:F174" si="234">IF(PLOT_TYPE=1, E143/100*Iout_max, min_I*EXP(O143*rr/100))</f>
        <v>0.26400000000000001</v>
      </c>
      <c r="G143" s="222">
        <f t="shared" si="215"/>
        <v>0.16500000000000001</v>
      </c>
      <c r="H143" s="222">
        <f t="shared" si="216"/>
        <v>3.1680000000000001</v>
      </c>
      <c r="I143" s="222">
        <f t="shared" si="217"/>
        <v>1.98</v>
      </c>
      <c r="J143" s="556">
        <f t="shared" si="155"/>
        <v>9</v>
      </c>
      <c r="K143" s="452">
        <f t="shared" si="156"/>
        <v>12.25</v>
      </c>
      <c r="L143" s="452">
        <f t="shared" si="157"/>
        <v>21.25</v>
      </c>
      <c r="M143" s="452"/>
      <c r="N143" s="222">
        <f t="shared" si="158"/>
        <v>0.57647058823529407</v>
      </c>
      <c r="O143" s="177">
        <f t="shared" si="218"/>
        <v>6.2179004524886858</v>
      </c>
      <c r="P143" s="177">
        <f t="shared" si="219"/>
        <v>6.3150551470588203</v>
      </c>
      <c r="Q143" s="222">
        <f t="shared" si="161"/>
        <v>0.51815837104072382</v>
      </c>
      <c r="R143" s="222">
        <f t="shared" si="220"/>
        <v>0.51815837104072382</v>
      </c>
      <c r="S143" s="222">
        <f t="shared" si="221"/>
        <v>12</v>
      </c>
      <c r="T143" s="222">
        <f t="shared" si="222"/>
        <v>2.0889366272824921</v>
      </c>
      <c r="U143" s="222">
        <f t="shared" si="165"/>
        <v>1.6247284878863828</v>
      </c>
      <c r="V143" s="222">
        <f t="shared" si="166"/>
        <v>1.1936780727328526</v>
      </c>
      <c r="W143" s="202">
        <f t="shared" si="167"/>
        <v>350</v>
      </c>
      <c r="X143" s="452">
        <f t="shared" si="168"/>
        <v>350</v>
      </c>
      <c r="Z143" s="222">
        <f t="shared" si="169"/>
        <v>2.1176470588235294</v>
      </c>
      <c r="AA143" s="178">
        <f t="shared" si="170"/>
        <v>1.2100840336134453</v>
      </c>
      <c r="AB143" s="178">
        <f t="shared" si="223"/>
        <v>0.27596486558424271</v>
      </c>
      <c r="AC143" s="178"/>
      <c r="AD143" s="178">
        <f t="shared" si="172"/>
        <v>0.46857142857142853</v>
      </c>
      <c r="AE143" s="560">
        <f t="shared" si="224"/>
        <v>1374.1820345032722</v>
      </c>
      <c r="AF143" s="543">
        <f t="shared" si="225"/>
        <v>6.723999999999998E-2</v>
      </c>
      <c r="AH143" s="178">
        <f t="shared" si="226"/>
        <v>2.0499875559602394</v>
      </c>
      <c r="AI143" s="178">
        <f t="shared" si="227"/>
        <v>2.0499875559602394</v>
      </c>
      <c r="AJ143" s="178">
        <f t="shared" si="228"/>
        <v>2.1111018933038812</v>
      </c>
      <c r="AL143" s="560">
        <f t="shared" si="229"/>
        <v>264</v>
      </c>
      <c r="AM143" s="470">
        <f t="shared" si="230"/>
        <v>350</v>
      </c>
      <c r="AO143" s="470">
        <f t="shared" si="180"/>
        <v>264</v>
      </c>
      <c r="AP143" s="470">
        <f t="shared" si="181"/>
        <v>350</v>
      </c>
      <c r="AR143" s="6">
        <f t="shared" si="214"/>
        <v>2.8571428571428572</v>
      </c>
      <c r="AS143" s="6">
        <f t="shared" si="211"/>
        <v>1.5944347657468527</v>
      </c>
      <c r="AT143" s="6">
        <f t="shared" si="212"/>
        <v>1.2627080913960045</v>
      </c>
      <c r="AU143" s="178">
        <f t="shared" si="213"/>
        <v>0.55805216801139845</v>
      </c>
      <c r="AW143" s="6">
        <f>L*Iout^2/(2*Vripple1_spec*Vout*Npri_sec1^2)*1000000000*((1+N143)/(1-N143))^2</f>
        <v>21.552126200274348</v>
      </c>
      <c r="AX143" s="6">
        <f>L*F143^2/(2*Cout*Vout*Nps^2)*1000000000*((1+N143)/(1-N143))^2+F143*RCoutEsr</f>
        <v>6.7844081954294726</v>
      </c>
      <c r="AY143" s="6">
        <f>L*Iout2^2/(2*Vout_ripple2*Vout2*Npri_sec2^2)*1000000000*((1+N143)/(1-N143))^2</f>
        <v>8.4187992969821668</v>
      </c>
      <c r="AZ143" s="6">
        <f>L*G143^2/(2*Cout2*Vout2*Npri_sec2^2)*1000000000*((1+N143)/(1-N143))^2+G143*CoutEsr2</f>
        <v>2.8357844513396375</v>
      </c>
      <c r="BA143" s="6">
        <f>(H143+I143)/Efficiency/J143*AT143/Vinripple1</f>
        <v>1.126345463202362</v>
      </c>
      <c r="BB143" s="6"/>
      <c r="BC143" s="6"/>
      <c r="BD143" s="178">
        <f t="shared" si="185"/>
        <v>0.88415416529368396</v>
      </c>
      <c r="BE143" s="178">
        <f t="shared" si="186"/>
        <v>0.78682128753894354</v>
      </c>
      <c r="BF143" s="178">
        <f t="shared" si="187"/>
        <v>0.4917633047118396</v>
      </c>
      <c r="BG143" s="178"/>
      <c r="BH143" s="543">
        <f t="shared" si="188"/>
        <v>8.5990144680678823E-2</v>
      </c>
      <c r="BI143" s="543">
        <f t="shared" si="189"/>
        <v>7.6233912237271412E-2</v>
      </c>
      <c r="BJ143" s="543">
        <f t="shared" si="190"/>
        <v>1.7499999999999998E-2</v>
      </c>
      <c r="BK143" s="543">
        <f t="shared" si="191"/>
        <v>3.5560546875000001E-2</v>
      </c>
      <c r="BL143">
        <f t="shared" si="192"/>
        <v>2.6099999999999999E-3</v>
      </c>
      <c r="BM143" s="470">
        <f t="shared" si="193"/>
        <v>217.89460379295022</v>
      </c>
      <c r="BN143" s="178">
        <f t="shared" si="194"/>
        <v>0.10560000000000001</v>
      </c>
      <c r="BO143" s="178">
        <f t="shared" si="195"/>
        <v>6.6000000000000003E-2</v>
      </c>
      <c r="BP143" s="543"/>
      <c r="BR143" s="470">
        <f t="shared" si="196"/>
        <v>171.60000000000002</v>
      </c>
      <c r="BS143" s="543">
        <f t="shared" si="197"/>
        <v>3.1269143520246845E-2</v>
      </c>
      <c r="BT143" s="543">
        <f t="shared" si="198"/>
        <v>2.4763509540977637E-2</v>
      </c>
      <c r="BU143" s="543">
        <f t="shared" si="199"/>
        <v>7.2549344358332872E-3</v>
      </c>
      <c r="BV143" s="543">
        <f t="shared" si="200"/>
        <v>0</v>
      </c>
      <c r="BW143" s="648">
        <f t="shared" si="231"/>
        <v>5.5157142857142849E-2</v>
      </c>
      <c r="BX143" s="470">
        <f t="shared" si="202"/>
        <v>118.44473035420063</v>
      </c>
      <c r="BY143" s="178">
        <f t="shared" si="203"/>
        <v>0.50793933414715087</v>
      </c>
      <c r="BZ143" s="6">
        <f t="shared" si="204"/>
        <v>5.1479999999999997</v>
      </c>
      <c r="CA143" s="178">
        <f t="shared" si="205"/>
        <v>0.91019363820249632</v>
      </c>
      <c r="CB143" s="6">
        <f t="shared" si="206"/>
        <v>91.019363820249637</v>
      </c>
      <c r="CC143">
        <f t="shared" si="207"/>
        <v>33</v>
      </c>
      <c r="CE143" s="577">
        <f t="shared" si="232"/>
        <v>-50</v>
      </c>
      <c r="CF143">
        <f t="shared" si="233"/>
        <v>-50</v>
      </c>
    </row>
    <row r="144" spans="5:84" x14ac:dyDescent="0.2">
      <c r="E144" s="175">
        <v>34</v>
      </c>
      <c r="F144" s="222">
        <f t="shared" si="234"/>
        <v>0.27200000000000002</v>
      </c>
      <c r="G144" s="222">
        <f t="shared" si="215"/>
        <v>0.17</v>
      </c>
      <c r="H144" s="222">
        <f t="shared" si="216"/>
        <v>3.2640000000000002</v>
      </c>
      <c r="I144" s="222">
        <f t="shared" si="217"/>
        <v>2.04</v>
      </c>
      <c r="J144" s="556">
        <f t="shared" si="155"/>
        <v>9</v>
      </c>
      <c r="K144" s="452">
        <f t="shared" si="156"/>
        <v>12.25</v>
      </c>
      <c r="L144" s="452">
        <f t="shared" si="157"/>
        <v>21.25</v>
      </c>
      <c r="M144" s="452"/>
      <c r="N144" s="222">
        <f t="shared" si="158"/>
        <v>0.57647058823529407</v>
      </c>
      <c r="O144" s="177">
        <f t="shared" si="218"/>
        <v>6.2179004524886858</v>
      </c>
      <c r="P144" s="177">
        <f t="shared" si="219"/>
        <v>6.3150551470588203</v>
      </c>
      <c r="Q144" s="222">
        <f t="shared" si="161"/>
        <v>0.51815837104072382</v>
      </c>
      <c r="R144" s="222">
        <f t="shared" si="220"/>
        <v>0.51815837104072382</v>
      </c>
      <c r="S144" s="222">
        <f t="shared" si="221"/>
        <v>12</v>
      </c>
      <c r="T144" s="222">
        <f t="shared" si="222"/>
        <v>2.1522377372001436</v>
      </c>
      <c r="U144" s="222">
        <f t="shared" si="165"/>
        <v>1.6739626844890005</v>
      </c>
      <c r="V144" s="222">
        <f t="shared" si="166"/>
        <v>1.2298501355429392</v>
      </c>
      <c r="W144" s="202">
        <f t="shared" si="167"/>
        <v>350</v>
      </c>
      <c r="X144" s="452">
        <f t="shared" si="168"/>
        <v>344.37481407255473</v>
      </c>
      <c r="Z144" s="222">
        <f t="shared" si="169"/>
        <v>2.1176470588235294</v>
      </c>
      <c r="AA144" s="178">
        <f t="shared" si="170"/>
        <v>1.2100840336134453</v>
      </c>
      <c r="AB144" s="178">
        <f t="shared" si="223"/>
        <v>0.27596486558424271</v>
      </c>
      <c r="AC144" s="178"/>
      <c r="AD144" s="178">
        <f t="shared" si="172"/>
        <v>0.46857142857142853</v>
      </c>
      <c r="AE144" s="560">
        <f t="shared" si="224"/>
        <v>1415.8239143367045</v>
      </c>
      <c r="AF144" s="543">
        <f t="shared" si="225"/>
        <v>6.723999999999998E-2</v>
      </c>
      <c r="AH144" s="178">
        <f t="shared" si="226"/>
        <v>2.0808161664037854</v>
      </c>
      <c r="AI144" s="178">
        <f t="shared" si="227"/>
        <v>2.0808161664037854</v>
      </c>
      <c r="AJ144" s="178">
        <f t="shared" si="228"/>
        <v>2.1339379010398409</v>
      </c>
      <c r="AL144" s="560">
        <f t="shared" si="229"/>
        <v>272</v>
      </c>
      <c r="AM144" s="470">
        <f t="shared" si="230"/>
        <v>344.37481407255473</v>
      </c>
      <c r="AO144" s="470">
        <f t="shared" si="180"/>
        <v>272</v>
      </c>
      <c r="AP144" s="470">
        <f t="shared" si="181"/>
        <v>344.37481407255473</v>
      </c>
      <c r="AR144" s="6">
        <f t="shared" si="214"/>
        <v>2.9038128200319395</v>
      </c>
      <c r="AS144" s="6">
        <f t="shared" si="211"/>
        <v>1.6184125738696109</v>
      </c>
      <c r="AT144" s="6">
        <f t="shared" si="212"/>
        <v>1.2854002461623286</v>
      </c>
      <c r="AU144" s="178">
        <f t="shared" si="213"/>
        <v>0.55734052921903199</v>
      </c>
      <c r="AW144" s="6">
        <f>L*Iout^2/(2*Vripple1_spec*Vout*Npri_sec1^2)*1000000000*((1+N144)/(1-N144))^2</f>
        <v>21.552126200274348</v>
      </c>
      <c r="AX144" s="6">
        <f>L*F144^2/(2*Cout*Vout*Nps^2)*1000000000*((1+N144)/(1-N144))^2+F144*RCoutEsr</f>
        <v>7.177087120217144</v>
      </c>
      <c r="AY144" s="6">
        <f>L*Iout2^2/(2*Vout_ripple2*Vout2*Npri_sec2^2)*1000000000*((1+N144)/(1-N144))^2</f>
        <v>8.4187992969821668</v>
      </c>
      <c r="AZ144" s="6">
        <f>L*G144^2/(2*Cout2*Vout2*Npri_sec2^2)*1000000000*((1+N144)/(1-N144))^2+G144*CoutEsr2</f>
        <v>2.9947996563348216</v>
      </c>
      <c r="BA144" s="6">
        <f>(H144+I144)/Efficiency/J144*AT144/Vinripple1</f>
        <v>1.1813321040753721</v>
      </c>
      <c r="BB144" s="6"/>
      <c r="BC144" s="6"/>
      <c r="BD144" s="178">
        <f t="shared" si="185"/>
        <v>0.89687805721723046</v>
      </c>
      <c r="BE144" s="178">
        <f t="shared" si="186"/>
        <v>0.79929660114671763</v>
      </c>
      <c r="BF144" s="178">
        <f t="shared" si="187"/>
        <v>0.49956037571669842</v>
      </c>
      <c r="BG144" s="178"/>
      <c r="BH144" s="543">
        <f t="shared" si="188"/>
        <v>8.8482927446952908E-2</v>
      </c>
      <c r="BI144" s="543">
        <f t="shared" si="189"/>
        <v>7.613669729509992E-2</v>
      </c>
      <c r="BJ144" s="543">
        <f t="shared" si="190"/>
        <v>1.7218740703627736E-2</v>
      </c>
      <c r="BK144" s="543">
        <f t="shared" si="191"/>
        <v>3.4989019195418553E-2</v>
      </c>
      <c r="BL144">
        <f t="shared" si="192"/>
        <v>2.6099999999999999E-3</v>
      </c>
      <c r="BM144" s="470">
        <f t="shared" si="193"/>
        <v>219.4373846410991</v>
      </c>
      <c r="BN144" s="178">
        <f t="shared" si="194"/>
        <v>0.10880000000000001</v>
      </c>
      <c r="BO144" s="178">
        <f t="shared" si="195"/>
        <v>6.8000000000000005E-2</v>
      </c>
      <c r="BP144" s="543"/>
      <c r="BR144" s="470">
        <f t="shared" si="196"/>
        <v>176.8</v>
      </c>
      <c r="BS144" s="543">
        <f t="shared" si="197"/>
        <v>3.2175609980710153E-2</v>
      </c>
      <c r="BT144" s="543">
        <f t="shared" si="198"/>
        <v>2.55550022641878E-2</v>
      </c>
      <c r="BU144" s="543">
        <f t="shared" si="199"/>
        <v>7.4868170695862671E-3</v>
      </c>
      <c r="BV144" s="543">
        <f t="shared" si="200"/>
        <v>0</v>
      </c>
      <c r="BW144" s="648">
        <f t="shared" si="231"/>
        <v>5.5915224913494793E-2</v>
      </c>
      <c r="BX144" s="470">
        <f t="shared" si="202"/>
        <v>121.132654227979</v>
      </c>
      <c r="BY144" s="178">
        <f t="shared" si="203"/>
        <v>0.51737003886907806</v>
      </c>
      <c r="BZ144" s="6">
        <f t="shared" si="204"/>
        <v>5.3040000000000003</v>
      </c>
      <c r="CA144" s="178">
        <f t="shared" si="205"/>
        <v>0.91112572548822401</v>
      </c>
      <c r="CB144" s="6">
        <f t="shared" si="206"/>
        <v>91.112572548822399</v>
      </c>
      <c r="CC144">
        <f t="shared" si="207"/>
        <v>34</v>
      </c>
      <c r="CE144" s="577">
        <f t="shared" si="232"/>
        <v>-50</v>
      </c>
      <c r="CF144">
        <f t="shared" si="233"/>
        <v>-50</v>
      </c>
    </row>
    <row r="145" spans="5:84" x14ac:dyDescent="0.2">
      <c r="E145" s="175">
        <v>35</v>
      </c>
      <c r="F145" s="222">
        <f t="shared" si="234"/>
        <v>0.27999999999999997</v>
      </c>
      <c r="G145" s="222">
        <f t="shared" si="215"/>
        <v>0.17499999999999999</v>
      </c>
      <c r="H145" s="222">
        <f t="shared" si="216"/>
        <v>3.3599999999999994</v>
      </c>
      <c r="I145" s="222">
        <f t="shared" si="217"/>
        <v>2.0999999999999996</v>
      </c>
      <c r="J145" s="556">
        <f t="shared" si="155"/>
        <v>9</v>
      </c>
      <c r="K145" s="452">
        <f t="shared" si="156"/>
        <v>12.25</v>
      </c>
      <c r="L145" s="452">
        <f t="shared" si="157"/>
        <v>21.25</v>
      </c>
      <c r="M145" s="452"/>
      <c r="N145" s="222">
        <f t="shared" si="158"/>
        <v>0.57647058823529407</v>
      </c>
      <c r="O145" s="177">
        <f t="shared" si="218"/>
        <v>6.2179004524886858</v>
      </c>
      <c r="P145" s="177">
        <f t="shared" si="219"/>
        <v>6.3150551470588203</v>
      </c>
      <c r="Q145" s="222">
        <f t="shared" si="161"/>
        <v>0.51815837104072382</v>
      </c>
      <c r="R145" s="222">
        <f t="shared" si="220"/>
        <v>0.51815837104072382</v>
      </c>
      <c r="S145" s="222">
        <f t="shared" si="221"/>
        <v>12</v>
      </c>
      <c r="T145" s="222">
        <f t="shared" si="222"/>
        <v>2.2155388471177946</v>
      </c>
      <c r="U145" s="222">
        <f t="shared" si="165"/>
        <v>1.7231968810916181</v>
      </c>
      <c r="V145" s="222">
        <f t="shared" si="166"/>
        <v>1.2660221983530255</v>
      </c>
      <c r="W145" s="202">
        <f t="shared" si="167"/>
        <v>350</v>
      </c>
      <c r="X145" s="452">
        <f t="shared" si="168"/>
        <v>334.5355336704817</v>
      </c>
      <c r="Z145" s="222">
        <f t="shared" si="169"/>
        <v>2.1176470588235294</v>
      </c>
      <c r="AA145" s="178">
        <f t="shared" si="170"/>
        <v>1.2100840336134453</v>
      </c>
      <c r="AB145" s="178">
        <f t="shared" si="223"/>
        <v>0.27596486558424271</v>
      </c>
      <c r="AC145" s="178"/>
      <c r="AD145" s="178">
        <f t="shared" si="172"/>
        <v>0.46857142857142853</v>
      </c>
      <c r="AE145" s="560">
        <f t="shared" si="224"/>
        <v>1457.4657941701371</v>
      </c>
      <c r="AF145" s="543">
        <f t="shared" si="225"/>
        <v>6.723999999999998E-2</v>
      </c>
      <c r="AH145" s="178">
        <f t="shared" si="226"/>
        <v>2.1111946516469904</v>
      </c>
      <c r="AI145" s="178">
        <f t="shared" si="227"/>
        <v>2.2155388471177946</v>
      </c>
      <c r="AJ145" s="178">
        <f t="shared" si="228"/>
        <v>2.2337324793465143</v>
      </c>
      <c r="AL145" s="560">
        <f t="shared" si="229"/>
        <v>279.99999999999994</v>
      </c>
      <c r="AM145" s="470">
        <f t="shared" si="230"/>
        <v>334.5355336704817</v>
      </c>
      <c r="AO145" s="470">
        <f t="shared" si="180"/>
        <v>279.99999999999994</v>
      </c>
      <c r="AP145" s="470">
        <f t="shared" si="181"/>
        <v>334.5355336704817</v>
      </c>
      <c r="AR145" s="6">
        <f t="shared" si="214"/>
        <v>2.989219079444644</v>
      </c>
      <c r="AS145" s="6">
        <f t="shared" si="211"/>
        <v>1.7231968810916181</v>
      </c>
      <c r="AT145" s="6">
        <f t="shared" si="212"/>
        <v>1.266022198353026</v>
      </c>
      <c r="AU145" s="178">
        <f t="shared" si="213"/>
        <v>0.57647058823529407</v>
      </c>
      <c r="AW145" s="6">
        <f>L*Iout^2/(2*Vripple1_spec*Vout*Npri_sec1^2)*1000000000*((1+N145)/(1-N145))^2</f>
        <v>21.552126200274348</v>
      </c>
      <c r="AX145" s="6">
        <f>L*F145^2/(2*Cout*Vout*Nps^2)*1000000000*((1+N145)/(1-N145))^2+F145*RCoutEsr</f>
        <v>7.5807713860432511</v>
      </c>
      <c r="AY145" s="6">
        <f>L*Iout2^2/(2*Vout_ripple2*Vout2*Npri_sec2^2)*1000000000*((1+N145)/(1-N145))^2</f>
        <v>8.4187992969821668</v>
      </c>
      <c r="AZ145" s="6">
        <f>L*G145^2/(2*Cout2*Vout2*Npri_sec2^2)*1000000000*((1+N145)/(1-N145))^2+G145*CoutEsr2</f>
        <v>3.1581138226731449</v>
      </c>
      <c r="BA145" s="6">
        <f>(H145+I145)/Efficiency/J145*AT145/Vinripple1</f>
        <v>1.1977441980519852</v>
      </c>
      <c r="BB145" s="6"/>
      <c r="BC145" s="6"/>
      <c r="BD145" s="178">
        <f t="shared" si="185"/>
        <v>0.97119697073556521</v>
      </c>
      <c r="BE145" s="178">
        <f t="shared" si="186"/>
        <v>0.83245454634477023</v>
      </c>
      <c r="BF145" s="178">
        <f t="shared" si="187"/>
        <v>0.52028409146548127</v>
      </c>
      <c r="BG145" s="178"/>
      <c r="BH145" s="543">
        <f t="shared" si="188"/>
        <v>0.10375459115625321</v>
      </c>
      <c r="BI145" s="543">
        <f t="shared" si="189"/>
        <v>7.8749999999999987E-2</v>
      </c>
      <c r="BJ145" s="543">
        <f t="shared" si="190"/>
        <v>1.6726776683524083E-2</v>
      </c>
      <c r="BK145" s="543">
        <f t="shared" si="191"/>
        <v>3.3989332932692302E-2</v>
      </c>
      <c r="BL145">
        <f t="shared" si="192"/>
        <v>2.6099999999999999E-3</v>
      </c>
      <c r="BM145" s="470">
        <f t="shared" si="193"/>
        <v>235.83070077246958</v>
      </c>
      <c r="BN145" s="178">
        <f t="shared" si="194"/>
        <v>0.11199999999999999</v>
      </c>
      <c r="BO145" s="178">
        <f t="shared" si="195"/>
        <v>6.9999999999999993E-2</v>
      </c>
      <c r="BP145" s="543"/>
      <c r="BR145" s="470">
        <f t="shared" si="196"/>
        <v>182</v>
      </c>
      <c r="BS145" s="543">
        <f t="shared" si="197"/>
        <v>3.7728942238637535E-2</v>
      </c>
      <c r="BT145" s="543">
        <f t="shared" si="198"/>
        <v>2.771922286920309E-2</v>
      </c>
      <c r="BU145" s="543">
        <f t="shared" si="199"/>
        <v>8.120866074961838E-3</v>
      </c>
      <c r="BV145" s="543">
        <f t="shared" si="200"/>
        <v>0</v>
      </c>
      <c r="BW145" s="648">
        <f t="shared" si="231"/>
        <v>6.1578947368421053E-2</v>
      </c>
      <c r="BX145" s="470">
        <f t="shared" si="202"/>
        <v>135.1479785512235</v>
      </c>
      <c r="BY145" s="178">
        <f t="shared" si="203"/>
        <v>0.55297867932369305</v>
      </c>
      <c r="BZ145" s="6">
        <f t="shared" si="204"/>
        <v>5.4599999999999991</v>
      </c>
      <c r="CA145" s="178">
        <f t="shared" si="205"/>
        <v>0.90803581572221892</v>
      </c>
      <c r="CB145" s="6">
        <f t="shared" si="206"/>
        <v>90.803581572221887</v>
      </c>
      <c r="CC145">
        <f t="shared" si="207"/>
        <v>34.999999999999993</v>
      </c>
      <c r="CE145" s="577">
        <f t="shared" si="232"/>
        <v>-50</v>
      </c>
      <c r="CF145">
        <f t="shared" si="233"/>
        <v>-50</v>
      </c>
    </row>
    <row r="146" spans="5:84" x14ac:dyDescent="0.2">
      <c r="E146" s="175">
        <v>36</v>
      </c>
      <c r="F146" s="222">
        <f t="shared" si="234"/>
        <v>0.28799999999999998</v>
      </c>
      <c r="G146" s="222">
        <f t="shared" si="215"/>
        <v>0.18</v>
      </c>
      <c r="H146" s="222">
        <f t="shared" si="216"/>
        <v>3.4559999999999995</v>
      </c>
      <c r="I146" s="222">
        <f t="shared" si="217"/>
        <v>2.16</v>
      </c>
      <c r="J146" s="556">
        <f t="shared" si="155"/>
        <v>9</v>
      </c>
      <c r="K146" s="452">
        <f t="shared" si="156"/>
        <v>12.25</v>
      </c>
      <c r="L146" s="452">
        <f t="shared" si="157"/>
        <v>21.25</v>
      </c>
      <c r="M146" s="452"/>
      <c r="N146" s="222">
        <f t="shared" si="158"/>
        <v>0.57647058823529407</v>
      </c>
      <c r="O146" s="177">
        <f t="shared" si="218"/>
        <v>6.2179004524886858</v>
      </c>
      <c r="P146" s="177">
        <f t="shared" si="219"/>
        <v>6.3150551470588203</v>
      </c>
      <c r="Q146" s="222">
        <f t="shared" si="161"/>
        <v>0.51815837104072382</v>
      </c>
      <c r="R146" s="222">
        <f t="shared" si="220"/>
        <v>0.51815837104072382</v>
      </c>
      <c r="S146" s="222">
        <f t="shared" si="221"/>
        <v>12</v>
      </c>
      <c r="T146" s="222">
        <f t="shared" si="222"/>
        <v>2.2788399570354461</v>
      </c>
      <c r="U146" s="222">
        <f t="shared" si="165"/>
        <v>1.7724310776942358</v>
      </c>
      <c r="V146" s="222">
        <f t="shared" si="166"/>
        <v>1.3021942611631119</v>
      </c>
      <c r="W146" s="202">
        <f t="shared" si="167"/>
        <v>350</v>
      </c>
      <c r="X146" s="452">
        <f t="shared" si="168"/>
        <v>325.24287995741281</v>
      </c>
      <c r="Z146" s="222">
        <f t="shared" si="169"/>
        <v>2.1176470588235294</v>
      </c>
      <c r="AA146" s="178">
        <f t="shared" si="170"/>
        <v>1.2100840336134453</v>
      </c>
      <c r="AB146" s="178">
        <f t="shared" si="223"/>
        <v>0.27596486558424271</v>
      </c>
      <c r="AC146" s="178"/>
      <c r="AD146" s="178">
        <f t="shared" si="172"/>
        <v>0.46857142857142853</v>
      </c>
      <c r="AE146" s="560">
        <f t="shared" si="224"/>
        <v>1499.1076740035694</v>
      </c>
      <c r="AF146" s="543">
        <f t="shared" si="225"/>
        <v>6.723999999999998E-2</v>
      </c>
      <c r="AH146" s="178">
        <f t="shared" si="226"/>
        <v>2.1411421708794505</v>
      </c>
      <c r="AI146" s="178">
        <f t="shared" si="227"/>
        <v>2.2788399570354461</v>
      </c>
      <c r="AJ146" s="178">
        <f t="shared" si="228"/>
        <v>2.2806221903966266</v>
      </c>
      <c r="AL146" s="560">
        <f t="shared" si="229"/>
        <v>288</v>
      </c>
      <c r="AM146" s="470">
        <f t="shared" si="230"/>
        <v>325.24287995741281</v>
      </c>
      <c r="AO146" s="470">
        <f t="shared" si="180"/>
        <v>288</v>
      </c>
      <c r="AP146" s="470">
        <f t="shared" si="181"/>
        <v>325.24287995741281</v>
      </c>
      <c r="AR146" s="6">
        <f t="shared" si="214"/>
        <v>3.0746253388573477</v>
      </c>
      <c r="AS146" s="6">
        <f t="shared" si="211"/>
        <v>1.7724310776942358</v>
      </c>
      <c r="AT146" s="6">
        <f t="shared" si="212"/>
        <v>1.3021942611631119</v>
      </c>
      <c r="AU146" s="178">
        <f t="shared" si="213"/>
        <v>0.57647058823529418</v>
      </c>
      <c r="AW146" s="6">
        <f>L*Iout^2/(2*Vripple1_spec*Vout*Npri_sec1^2)*1000000000*((1+N146)/(1-N146))^2</f>
        <v>21.552126200274348</v>
      </c>
      <c r="AX146" s="6">
        <f>L*F146^2/(2*Cout*Vout*Nps^2)*1000000000*((1+N146)/(1-N146))^2+F146*RCoutEsr</f>
        <v>7.9954609929078</v>
      </c>
      <c r="AY146" s="6">
        <f>L*Iout2^2/(2*Vout_ripple2*Vout2*Npri_sec2^2)*1000000000*((1+N146)/(1-N146))^2</f>
        <v>8.4187992969821668</v>
      </c>
      <c r="AZ146" s="6">
        <f>L*G146^2/(2*Cout2*Vout2*Npri_sec2^2)*1000000000*((1+N146)/(1-N146))^2+G146*CoutEsr2</f>
        <v>3.3257269503546092</v>
      </c>
      <c r="BA146" s="6">
        <f>(H146+I146)/Efficiency/J146*AT146/Vinripple1</f>
        <v>1.2671644740207124</v>
      </c>
      <c r="BB146" s="6"/>
      <c r="BC146" s="6"/>
      <c r="BD146" s="178">
        <f t="shared" si="185"/>
        <v>0.99894545561372439</v>
      </c>
      <c r="BE146" s="178">
        <f t="shared" si="186"/>
        <v>0.85623896195462079</v>
      </c>
      <c r="BF146" s="178">
        <f t="shared" si="187"/>
        <v>0.53514935122163787</v>
      </c>
      <c r="BG146" s="178"/>
      <c r="BH146" s="543">
        <f t="shared" si="188"/>
        <v>0.10976812256204425</v>
      </c>
      <c r="BI146" s="543">
        <f t="shared" si="189"/>
        <v>7.8750000000000001E-2</v>
      </c>
      <c r="BJ146" s="543">
        <f t="shared" si="190"/>
        <v>1.626214399787064E-2</v>
      </c>
      <c r="BK146" s="543">
        <f t="shared" si="191"/>
        <v>3.3045184795673074E-2</v>
      </c>
      <c r="BL146">
        <f t="shared" si="192"/>
        <v>2.6099999999999999E-3</v>
      </c>
      <c r="BM146" s="470">
        <f t="shared" si="193"/>
        <v>240.43545135558796</v>
      </c>
      <c r="BN146" s="178">
        <f t="shared" si="194"/>
        <v>0.1152</v>
      </c>
      <c r="BO146" s="178">
        <f t="shared" si="195"/>
        <v>7.1999999999999995E-2</v>
      </c>
      <c r="BP146" s="543"/>
      <c r="BR146" s="470">
        <f t="shared" si="196"/>
        <v>187.2</v>
      </c>
      <c r="BS146" s="543">
        <f t="shared" si="197"/>
        <v>3.9915680931652459E-2</v>
      </c>
      <c r="BT146" s="543">
        <f t="shared" si="198"/>
        <v>2.9325806398765062E-2</v>
      </c>
      <c r="BU146" s="543">
        <f t="shared" si="199"/>
        <v>8.5915448433881974E-3</v>
      </c>
      <c r="BV146" s="543">
        <f t="shared" si="200"/>
        <v>0</v>
      </c>
      <c r="BW146" s="648">
        <f t="shared" si="231"/>
        <v>6.333834586466168E-2</v>
      </c>
      <c r="BX146" s="470">
        <f t="shared" si="202"/>
        <v>141.17137803846742</v>
      </c>
      <c r="BY146" s="178">
        <f t="shared" si="203"/>
        <v>0.56880682939405536</v>
      </c>
      <c r="BZ146" s="6">
        <f t="shared" si="204"/>
        <v>5.6159999999999997</v>
      </c>
      <c r="CA146" s="178">
        <f t="shared" si="205"/>
        <v>0.90803159337317851</v>
      </c>
      <c r="CB146" s="6">
        <f t="shared" si="206"/>
        <v>90.803159337317851</v>
      </c>
      <c r="CC146">
        <f t="shared" si="207"/>
        <v>35.999999999999993</v>
      </c>
      <c r="CE146" s="577">
        <f t="shared" si="232"/>
        <v>-50</v>
      </c>
      <c r="CF146">
        <f t="shared" si="233"/>
        <v>-50</v>
      </c>
    </row>
    <row r="147" spans="5:84" x14ac:dyDescent="0.2">
      <c r="E147" s="175">
        <v>37</v>
      </c>
      <c r="F147" s="222">
        <f t="shared" si="234"/>
        <v>0.29599999999999999</v>
      </c>
      <c r="G147" s="222">
        <f t="shared" si="215"/>
        <v>0.185</v>
      </c>
      <c r="H147" s="222">
        <f t="shared" si="216"/>
        <v>3.5519999999999996</v>
      </c>
      <c r="I147" s="222">
        <f t="shared" si="217"/>
        <v>2.2199999999999998</v>
      </c>
      <c r="J147" s="556">
        <f t="shared" si="155"/>
        <v>9</v>
      </c>
      <c r="K147" s="452">
        <f t="shared" si="156"/>
        <v>12.25</v>
      </c>
      <c r="L147" s="452">
        <f t="shared" si="157"/>
        <v>21.25</v>
      </c>
      <c r="M147" s="452"/>
      <c r="N147" s="222">
        <f t="shared" si="158"/>
        <v>0.57647058823529407</v>
      </c>
      <c r="O147" s="177">
        <f t="shared" si="218"/>
        <v>6.2179004524886858</v>
      </c>
      <c r="P147" s="177">
        <f t="shared" si="219"/>
        <v>6.3150551470588203</v>
      </c>
      <c r="Q147" s="222">
        <f t="shared" si="161"/>
        <v>0.51815837104072382</v>
      </c>
      <c r="R147" s="222">
        <f t="shared" si="220"/>
        <v>0.51815837104072382</v>
      </c>
      <c r="S147" s="222">
        <f t="shared" si="221"/>
        <v>12</v>
      </c>
      <c r="T147" s="222">
        <f t="shared" si="222"/>
        <v>2.3421410669530971</v>
      </c>
      <c r="U147" s="222">
        <f t="shared" si="165"/>
        <v>1.8216652742968533</v>
      </c>
      <c r="V147" s="222">
        <f t="shared" si="166"/>
        <v>1.3383663239731984</v>
      </c>
      <c r="W147" s="202">
        <f t="shared" si="167"/>
        <v>350</v>
      </c>
      <c r="X147" s="452">
        <f t="shared" si="168"/>
        <v>316.45253185045567</v>
      </c>
      <c r="Z147" s="222">
        <f t="shared" si="169"/>
        <v>2.1176470588235294</v>
      </c>
      <c r="AA147" s="178">
        <f t="shared" si="170"/>
        <v>1.2100840336134453</v>
      </c>
      <c r="AB147" s="178">
        <f t="shared" si="223"/>
        <v>0.27596486558424271</v>
      </c>
      <c r="AC147" s="178"/>
      <c r="AD147" s="178">
        <f t="shared" si="172"/>
        <v>0.46857142857142853</v>
      </c>
      <c r="AE147" s="560">
        <f t="shared" si="224"/>
        <v>1540.7495538370019</v>
      </c>
      <c r="AF147" s="543">
        <f t="shared" si="225"/>
        <v>6.723999999999998E-2</v>
      </c>
      <c r="AH147" s="178">
        <f t="shared" si="226"/>
        <v>2.1706765615111516</v>
      </c>
      <c r="AI147" s="178">
        <f t="shared" si="227"/>
        <v>2.3421410669530971</v>
      </c>
      <c r="AJ147" s="178">
        <f t="shared" si="228"/>
        <v>2.3275119014467385</v>
      </c>
      <c r="AL147" s="560">
        <f t="shared" si="229"/>
        <v>296</v>
      </c>
      <c r="AM147" s="470">
        <f t="shared" si="230"/>
        <v>316.45253185045567</v>
      </c>
      <c r="AO147" s="470">
        <f t="shared" si="180"/>
        <v>296</v>
      </c>
      <c r="AP147" s="470">
        <f t="shared" si="181"/>
        <v>316.45253185045567</v>
      </c>
      <c r="AR147" s="6">
        <f t="shared" si="214"/>
        <v>3.1600315982700522</v>
      </c>
      <c r="AS147" s="6">
        <f t="shared" si="211"/>
        <v>1.8216652742968533</v>
      </c>
      <c r="AT147" s="6">
        <f t="shared" si="212"/>
        <v>1.3383663239731989</v>
      </c>
      <c r="AU147" s="178">
        <f t="shared" si="213"/>
        <v>0.57647058823529407</v>
      </c>
      <c r="AW147" s="6">
        <f>L*Iout^2/(2*Vripple1_spec*Vout*Npri_sec1^2)*1000000000*((1+N147)/(1-N147))^2</f>
        <v>21.552126200274348</v>
      </c>
      <c r="AX147" s="6">
        <f>L*F147^2/(2*Cout*Vout*Nps^2)*1000000000*((1+N147)/(1-N147))^2+F147*RCoutEsr</f>
        <v>8.4211559408107846</v>
      </c>
      <c r="AY147" s="6">
        <f>L*Iout2^2/(2*Vout_ripple2*Vout2*Npri_sec2^2)*1000000000*((1+N147)/(1-N147))^2</f>
        <v>8.4187992969821668</v>
      </c>
      <c r="AZ147" s="6">
        <f>L*G147^2/(2*Cout2*Vout2*Npri_sec2^2)*1000000000*((1+N147)/(1-N147))^2+G147*CoutEsr2</f>
        <v>3.4976390393792132</v>
      </c>
      <c r="BA147" s="6">
        <f>(H147+I147)/Efficiency/J147*AT147/Vinripple1</f>
        <v>1.3385402507209536</v>
      </c>
      <c r="BB147" s="6"/>
      <c r="BC147" s="6"/>
      <c r="BD147" s="178">
        <f t="shared" si="185"/>
        <v>1.0266939404918831</v>
      </c>
      <c r="BE147" s="178">
        <f t="shared" si="186"/>
        <v>0.88002337756447135</v>
      </c>
      <c r="BF147" s="178">
        <f t="shared" si="187"/>
        <v>0.55001461097779447</v>
      </c>
      <c r="BG147" s="178"/>
      <c r="BH147" s="543">
        <f t="shared" si="188"/>
        <v>0.11595104921870254</v>
      </c>
      <c r="BI147" s="543">
        <f t="shared" si="189"/>
        <v>7.8749999999999987E-2</v>
      </c>
      <c r="BJ147" s="543">
        <f t="shared" si="190"/>
        <v>1.5822626592522784E-2</v>
      </c>
      <c r="BK147" s="543">
        <f t="shared" si="191"/>
        <v>3.2152071693087314E-2</v>
      </c>
      <c r="BL147">
        <f t="shared" si="192"/>
        <v>2.6099999999999999E-3</v>
      </c>
      <c r="BM147" s="470">
        <f t="shared" si="193"/>
        <v>245.28574750431261</v>
      </c>
      <c r="BN147" s="178">
        <f t="shared" si="194"/>
        <v>0.11840000000000001</v>
      </c>
      <c r="BO147" s="178">
        <f t="shared" si="195"/>
        <v>7.3999999999999996E-2</v>
      </c>
      <c r="BP147" s="543"/>
      <c r="BR147" s="470">
        <f t="shared" si="196"/>
        <v>192.4</v>
      </c>
      <c r="BS147" s="543">
        <f t="shared" si="197"/>
        <v>4.2164017897710016E-2</v>
      </c>
      <c r="BT147" s="543">
        <f t="shared" si="198"/>
        <v>3.0977645802399204E-2</v>
      </c>
      <c r="BU147" s="543">
        <f t="shared" si="199"/>
        <v>9.0754821686716367E-3</v>
      </c>
      <c r="BV147" s="543">
        <f t="shared" si="200"/>
        <v>0</v>
      </c>
      <c r="BW147" s="648">
        <f t="shared" si="231"/>
        <v>6.5097744360902252E-2</v>
      </c>
      <c r="BX147" s="470">
        <f t="shared" si="202"/>
        <v>147.3148902296831</v>
      </c>
      <c r="BY147" s="178">
        <f t="shared" si="203"/>
        <v>0.58500063773399569</v>
      </c>
      <c r="BZ147" s="6">
        <f t="shared" si="204"/>
        <v>5.7719999999999994</v>
      </c>
      <c r="CA147" s="178">
        <f t="shared" si="205"/>
        <v>0.90797536903464526</v>
      </c>
      <c r="CB147" s="6">
        <f t="shared" si="206"/>
        <v>90.797536903464533</v>
      </c>
      <c r="CC147">
        <f t="shared" si="207"/>
        <v>36.999999999999993</v>
      </c>
      <c r="CE147" s="577">
        <f t="shared" si="232"/>
        <v>-50</v>
      </c>
      <c r="CF147">
        <f t="shared" si="233"/>
        <v>-50</v>
      </c>
    </row>
    <row r="148" spans="5:84" x14ac:dyDescent="0.2">
      <c r="E148" s="175">
        <v>38</v>
      </c>
      <c r="F148" s="222">
        <f t="shared" si="234"/>
        <v>0.30400000000000005</v>
      </c>
      <c r="G148" s="222">
        <f t="shared" si="215"/>
        <v>0.19</v>
      </c>
      <c r="H148" s="222">
        <f t="shared" si="216"/>
        <v>3.6480000000000006</v>
      </c>
      <c r="I148" s="222">
        <f t="shared" si="217"/>
        <v>2.2800000000000002</v>
      </c>
      <c r="J148" s="556">
        <f t="shared" si="155"/>
        <v>9</v>
      </c>
      <c r="K148" s="452">
        <f t="shared" si="156"/>
        <v>12.25</v>
      </c>
      <c r="L148" s="452">
        <f t="shared" si="157"/>
        <v>21.25</v>
      </c>
      <c r="M148" s="452"/>
      <c r="N148" s="222">
        <f t="shared" si="158"/>
        <v>0.57647058823529407</v>
      </c>
      <c r="O148" s="177">
        <f t="shared" si="218"/>
        <v>6.2179004524886858</v>
      </c>
      <c r="P148" s="177">
        <f t="shared" si="219"/>
        <v>6.3150551470588203</v>
      </c>
      <c r="Q148" s="222">
        <f t="shared" si="161"/>
        <v>0.51815837104072382</v>
      </c>
      <c r="R148" s="222">
        <f t="shared" si="220"/>
        <v>0.51815837104072382</v>
      </c>
      <c r="S148" s="222">
        <f t="shared" si="221"/>
        <v>12</v>
      </c>
      <c r="T148" s="222">
        <f t="shared" si="222"/>
        <v>2.405442176870749</v>
      </c>
      <c r="U148" s="222">
        <f t="shared" si="165"/>
        <v>1.8708994708994715</v>
      </c>
      <c r="V148" s="222">
        <f t="shared" si="166"/>
        <v>1.374538386783285</v>
      </c>
      <c r="W148" s="202">
        <f t="shared" si="167"/>
        <v>350</v>
      </c>
      <c r="X148" s="452">
        <f t="shared" si="168"/>
        <v>308.12483364386469</v>
      </c>
      <c r="Z148" s="222">
        <f t="shared" si="169"/>
        <v>2.1176470588235294</v>
      </c>
      <c r="AA148" s="178">
        <f t="shared" si="170"/>
        <v>1.2100840336134453</v>
      </c>
      <c r="AB148" s="178">
        <f t="shared" si="223"/>
        <v>0.27596486558424271</v>
      </c>
      <c r="AC148" s="178"/>
      <c r="AD148" s="178">
        <f t="shared" si="172"/>
        <v>0.46857142857142853</v>
      </c>
      <c r="AE148" s="560">
        <f t="shared" si="224"/>
        <v>1582.3914336704349</v>
      </c>
      <c r="AF148" s="543">
        <f t="shared" si="225"/>
        <v>6.723999999999998E-2</v>
      </c>
      <c r="AH148" s="178">
        <f t="shared" si="226"/>
        <v>2.1998144634194468</v>
      </c>
      <c r="AI148" s="178">
        <f t="shared" si="227"/>
        <v>2.405442176870749</v>
      </c>
      <c r="AJ148" s="178">
        <f t="shared" si="228"/>
        <v>2.3744016124968512</v>
      </c>
      <c r="AL148" s="560">
        <f t="shared" si="229"/>
        <v>304.00000000000006</v>
      </c>
      <c r="AM148" s="470">
        <f t="shared" si="230"/>
        <v>308.12483364386469</v>
      </c>
      <c r="AO148" s="470">
        <f t="shared" si="180"/>
        <v>304.00000000000006</v>
      </c>
      <c r="AP148" s="470">
        <f t="shared" si="181"/>
        <v>308.12483364386469</v>
      </c>
      <c r="AR148" s="6">
        <f t="shared" si="214"/>
        <v>3.2454378576827567</v>
      </c>
      <c r="AS148" s="6">
        <f t="shared" si="211"/>
        <v>1.8708994708994715</v>
      </c>
      <c r="AT148" s="6">
        <f t="shared" si="212"/>
        <v>1.3745383867832852</v>
      </c>
      <c r="AU148" s="178">
        <f t="shared" si="213"/>
        <v>0.57647058823529407</v>
      </c>
      <c r="AW148" s="6">
        <f>L*Iout^2/(2*Vripple1_spec*Vout*Npri_sec1^2)*1000000000*((1+N148)/(1-N148))^2</f>
        <v>21.552126200274348</v>
      </c>
      <c r="AX148" s="6">
        <f>L*F148^2/(2*Cout*Vout*Nps^2)*1000000000*((1+N148)/(1-N148))^2+F148*RCoutEsr</f>
        <v>8.8578562297522119</v>
      </c>
      <c r="AY148" s="6">
        <f>L*Iout2^2/(2*Vout_ripple2*Vout2*Npri_sec2^2)*1000000000*((1+N148)/(1-N148))^2</f>
        <v>8.4187992969821668</v>
      </c>
      <c r="AZ148" s="6">
        <f>L*G148^2/(2*Cout2*Vout2*Npri_sec2^2)*1000000000*((1+N148)/(1-N148))^2+G148*CoutEsr2</f>
        <v>3.6738500897469564</v>
      </c>
      <c r="BA148" s="6">
        <f>(H148+I148)/Efficiency/J148*AT148/Vinripple1</f>
        <v>1.4118715281527079</v>
      </c>
      <c r="BB148" s="6"/>
      <c r="BC148" s="6"/>
      <c r="BD148" s="178">
        <f t="shared" si="185"/>
        <v>1.0544424253700424</v>
      </c>
      <c r="BE148" s="178">
        <f t="shared" si="186"/>
        <v>0.90380779317432225</v>
      </c>
      <c r="BF148" s="178">
        <f t="shared" si="187"/>
        <v>0.56487987073395129</v>
      </c>
      <c r="BG148" s="178"/>
      <c r="BH148" s="543">
        <f t="shared" si="188"/>
        <v>0.12230337112622831</v>
      </c>
      <c r="BI148" s="543">
        <f t="shared" si="189"/>
        <v>7.8750000000000001E-2</v>
      </c>
      <c r="BJ148" s="543">
        <f t="shared" si="190"/>
        <v>1.5406241682193235E-2</v>
      </c>
      <c r="BK148" s="543">
        <f t="shared" si="191"/>
        <v>3.130596454326922E-2</v>
      </c>
      <c r="BL148">
        <f t="shared" si="192"/>
        <v>2.6099999999999999E-3</v>
      </c>
      <c r="BM148" s="470">
        <f t="shared" si="193"/>
        <v>250.37557735169074</v>
      </c>
      <c r="BN148" s="178">
        <f t="shared" si="194"/>
        <v>0.12160000000000003</v>
      </c>
      <c r="BO148" s="178">
        <f t="shared" si="195"/>
        <v>7.6000000000000012E-2</v>
      </c>
      <c r="BP148" s="543"/>
      <c r="BR148" s="470">
        <f t="shared" si="196"/>
        <v>197.60000000000005</v>
      </c>
      <c r="BS148" s="543">
        <f t="shared" si="197"/>
        <v>4.4473953136810296E-2</v>
      </c>
      <c r="BT148" s="543">
        <f t="shared" si="198"/>
        <v>3.267474108010554E-2</v>
      </c>
      <c r="BU148" s="543">
        <f t="shared" si="199"/>
        <v>9.5726780508121646E-3</v>
      </c>
      <c r="BV148" s="543">
        <f t="shared" si="200"/>
        <v>0</v>
      </c>
      <c r="BW148" s="648">
        <f t="shared" si="231"/>
        <v>6.6857142857142893E-2</v>
      </c>
      <c r="BX148" s="470">
        <f t="shared" si="202"/>
        <v>153.5785151248709</v>
      </c>
      <c r="BY148" s="178">
        <f t="shared" si="203"/>
        <v>0.60155409247656166</v>
      </c>
      <c r="BZ148" s="6">
        <f t="shared" si="204"/>
        <v>5.9280000000000008</v>
      </c>
      <c r="CA148" s="178">
        <f t="shared" si="205"/>
        <v>0.90787210214405301</v>
      </c>
      <c r="CB148" s="6">
        <f t="shared" si="206"/>
        <v>90.787210214405306</v>
      </c>
      <c r="CC148">
        <f t="shared" si="207"/>
        <v>38.000000000000007</v>
      </c>
      <c r="CE148" s="577">
        <f t="shared" si="232"/>
        <v>-50</v>
      </c>
      <c r="CF148">
        <f t="shared" si="233"/>
        <v>-50</v>
      </c>
    </row>
    <row r="149" spans="5:84" x14ac:dyDescent="0.2">
      <c r="E149" s="175">
        <v>39</v>
      </c>
      <c r="F149" s="222">
        <f t="shared" si="234"/>
        <v>0.31200000000000006</v>
      </c>
      <c r="G149" s="222">
        <f t="shared" si="215"/>
        <v>0.19500000000000001</v>
      </c>
      <c r="H149" s="222">
        <f t="shared" si="216"/>
        <v>3.7440000000000007</v>
      </c>
      <c r="I149" s="222">
        <f t="shared" si="217"/>
        <v>2.34</v>
      </c>
      <c r="J149" s="556">
        <f t="shared" si="155"/>
        <v>9</v>
      </c>
      <c r="K149" s="452">
        <f t="shared" si="156"/>
        <v>12.25</v>
      </c>
      <c r="L149" s="452">
        <f t="shared" si="157"/>
        <v>21.25</v>
      </c>
      <c r="M149" s="452"/>
      <c r="N149" s="222">
        <f t="shared" si="158"/>
        <v>0.57647058823529407</v>
      </c>
      <c r="O149" s="177">
        <f t="shared" si="218"/>
        <v>6.2179004524886858</v>
      </c>
      <c r="P149" s="177">
        <f t="shared" si="219"/>
        <v>6.3150551470588203</v>
      </c>
      <c r="Q149" s="222">
        <f t="shared" si="161"/>
        <v>0.51815837104072382</v>
      </c>
      <c r="R149" s="222">
        <f t="shared" si="220"/>
        <v>0.51815837104072382</v>
      </c>
      <c r="S149" s="222">
        <f t="shared" si="221"/>
        <v>12</v>
      </c>
      <c r="T149" s="222">
        <f t="shared" si="222"/>
        <v>2.4687432867884005</v>
      </c>
      <c r="U149" s="222">
        <f t="shared" si="165"/>
        <v>1.9201336675020892</v>
      </c>
      <c r="V149" s="222">
        <f t="shared" si="166"/>
        <v>1.4107104495933718</v>
      </c>
      <c r="W149" s="202">
        <f t="shared" si="167"/>
        <v>350</v>
      </c>
      <c r="X149" s="452">
        <f t="shared" si="168"/>
        <v>300.22419688376556</v>
      </c>
      <c r="Z149" s="222">
        <f t="shared" si="169"/>
        <v>2.1176470588235294</v>
      </c>
      <c r="AA149" s="178">
        <f t="shared" si="170"/>
        <v>1.2100840336134453</v>
      </c>
      <c r="AB149" s="178">
        <f t="shared" si="223"/>
        <v>0.27596486558424271</v>
      </c>
      <c r="AC149" s="178"/>
      <c r="AD149" s="178">
        <f t="shared" si="172"/>
        <v>0.46857142857142853</v>
      </c>
      <c r="AE149" s="560">
        <f t="shared" si="224"/>
        <v>1624.0333135038672</v>
      </c>
      <c r="AF149" s="543">
        <f t="shared" si="225"/>
        <v>6.723999999999998E-2</v>
      </c>
      <c r="AH149" s="178">
        <f t="shared" si="226"/>
        <v>2.2285714285714286</v>
      </c>
      <c r="AI149" s="178">
        <f t="shared" si="227"/>
        <v>2.4687432867884005</v>
      </c>
      <c r="AJ149" s="178">
        <f t="shared" si="228"/>
        <v>2.4212913235469635</v>
      </c>
      <c r="AL149" s="560">
        <f t="shared" si="229"/>
        <v>312.00000000000006</v>
      </c>
      <c r="AM149" s="470">
        <f t="shared" si="230"/>
        <v>300.22419688376556</v>
      </c>
      <c r="AO149" s="470">
        <f t="shared" si="180"/>
        <v>312.00000000000006</v>
      </c>
      <c r="AP149" s="470">
        <f t="shared" si="181"/>
        <v>300.22419688376556</v>
      </c>
      <c r="AR149" s="6">
        <f t="shared" si="214"/>
        <v>3.3308441170954612</v>
      </c>
      <c r="AS149" s="6">
        <f t="shared" si="211"/>
        <v>1.9201336675020892</v>
      </c>
      <c r="AT149" s="6">
        <f t="shared" si="212"/>
        <v>1.410710449593372</v>
      </c>
      <c r="AU149" s="178">
        <f t="shared" si="213"/>
        <v>0.57647058823529407</v>
      </c>
      <c r="AW149" s="6">
        <f>L*Iout^2/(2*Vripple1_spec*Vout*Npri_sec1^2)*1000000000*((1+N149)/(1-N149))^2</f>
        <v>21.552126200274348</v>
      </c>
      <c r="AX149" s="6">
        <f>L*F149^2/(2*Cout*Vout*Nps^2)*1000000000*((1+N149)/(1-N149))^2+F149*RCoutEsr</f>
        <v>9.3055618597320748</v>
      </c>
      <c r="AY149" s="6">
        <f>L*Iout2^2/(2*Vout_ripple2*Vout2*Npri_sec2^2)*1000000000*((1+N149)/(1-N149))^2</f>
        <v>8.4187992969821668</v>
      </c>
      <c r="AZ149" s="6">
        <f>L*G149^2/(2*Cout2*Vout2*Npri_sec2^2)*1000000000*((1+N149)/(1-N149))^2+G149*CoutEsr2</f>
        <v>3.854360101457841</v>
      </c>
      <c r="BA149" s="6">
        <f>(H149+I149)/Efficiency/J149*AT149/Vinripple1</f>
        <v>1.4871583063159759</v>
      </c>
      <c r="BB149" s="6"/>
      <c r="BC149" s="6"/>
      <c r="BD149" s="178">
        <f t="shared" si="185"/>
        <v>1.0821909102482015</v>
      </c>
      <c r="BE149" s="178">
        <f t="shared" si="186"/>
        <v>0.92759220878417292</v>
      </c>
      <c r="BF149" s="178">
        <f t="shared" si="187"/>
        <v>0.57974513049010801</v>
      </c>
      <c r="BG149" s="178"/>
      <c r="BH149" s="543">
        <f t="shared" si="188"/>
        <v>0.12882508828462139</v>
      </c>
      <c r="BI149" s="543">
        <f t="shared" si="189"/>
        <v>7.8750000000000001E-2</v>
      </c>
      <c r="BJ149" s="543">
        <f t="shared" si="190"/>
        <v>1.5011209844188278E-2</v>
      </c>
      <c r="BK149" s="543">
        <f t="shared" si="191"/>
        <v>3.0503247503698212E-2</v>
      </c>
      <c r="BL149">
        <f t="shared" si="192"/>
        <v>2.6099999999999999E-3</v>
      </c>
      <c r="BM149" s="470">
        <f t="shared" si="193"/>
        <v>255.69954563250792</v>
      </c>
      <c r="BN149" s="178">
        <f t="shared" si="194"/>
        <v>0.12480000000000002</v>
      </c>
      <c r="BO149" s="178">
        <f t="shared" si="195"/>
        <v>7.8000000000000014E-2</v>
      </c>
      <c r="BP149" s="543"/>
      <c r="BR149" s="470">
        <f t="shared" si="196"/>
        <v>202.80000000000004</v>
      </c>
      <c r="BS149" s="543">
        <f t="shared" si="197"/>
        <v>4.684548664895323E-2</v>
      </c>
      <c r="BT149" s="543">
        <f t="shared" si="198"/>
        <v>3.4417092231884029E-2</v>
      </c>
      <c r="BU149" s="543">
        <f t="shared" si="199"/>
        <v>1.0083132489809769E-2</v>
      </c>
      <c r="BV149" s="543">
        <f t="shared" si="200"/>
        <v>0</v>
      </c>
      <c r="BW149" s="648">
        <f t="shared" si="231"/>
        <v>6.8616541353383492E-2</v>
      </c>
      <c r="BX149" s="470">
        <f t="shared" si="202"/>
        <v>159.96225272403052</v>
      </c>
      <c r="BY149" s="178">
        <f t="shared" si="203"/>
        <v>0.61846179835653847</v>
      </c>
      <c r="BZ149" s="6">
        <f t="shared" si="204"/>
        <v>6.0840000000000005</v>
      </c>
      <c r="CA149" s="178">
        <f t="shared" si="205"/>
        <v>0.90772617331318672</v>
      </c>
      <c r="CB149" s="6">
        <f t="shared" si="206"/>
        <v>90.772617331318671</v>
      </c>
      <c r="CC149">
        <f t="shared" si="207"/>
        <v>39.000000000000007</v>
      </c>
      <c r="CE149" s="577">
        <f t="shared" si="232"/>
        <v>-50</v>
      </c>
      <c r="CF149">
        <f t="shared" si="233"/>
        <v>-50</v>
      </c>
    </row>
    <row r="150" spans="5:84" x14ac:dyDescent="0.2">
      <c r="E150" s="175">
        <v>40</v>
      </c>
      <c r="F150" s="222">
        <f t="shared" si="234"/>
        <v>0.32000000000000006</v>
      </c>
      <c r="G150" s="222">
        <f t="shared" si="215"/>
        <v>0.2</v>
      </c>
      <c r="H150" s="222">
        <f t="shared" si="216"/>
        <v>3.8400000000000007</v>
      </c>
      <c r="I150" s="222">
        <f t="shared" si="217"/>
        <v>2.4000000000000004</v>
      </c>
      <c r="J150" s="556">
        <f t="shared" si="155"/>
        <v>9</v>
      </c>
      <c r="K150" s="452">
        <f t="shared" si="156"/>
        <v>12.25</v>
      </c>
      <c r="L150" s="452">
        <f t="shared" si="157"/>
        <v>21.25</v>
      </c>
      <c r="M150" s="452"/>
      <c r="N150" s="222">
        <f t="shared" si="158"/>
        <v>0.57647058823529407</v>
      </c>
      <c r="O150" s="177">
        <f t="shared" si="218"/>
        <v>6.2179004524886858</v>
      </c>
      <c r="P150" s="177">
        <f t="shared" si="219"/>
        <v>6.3150551470588203</v>
      </c>
      <c r="Q150" s="222">
        <f t="shared" si="161"/>
        <v>0.51815837104072382</v>
      </c>
      <c r="R150" s="222">
        <f t="shared" si="220"/>
        <v>0.51815837104072382</v>
      </c>
      <c r="S150" s="222">
        <f t="shared" si="221"/>
        <v>12</v>
      </c>
      <c r="T150" s="222">
        <f t="shared" si="222"/>
        <v>2.532044396706052</v>
      </c>
      <c r="U150" s="222">
        <f t="shared" si="165"/>
        <v>1.9693678641047068</v>
      </c>
      <c r="V150" s="222">
        <f t="shared" si="166"/>
        <v>1.4468825124034583</v>
      </c>
      <c r="W150" s="202">
        <f t="shared" si="167"/>
        <v>350</v>
      </c>
      <c r="X150" s="452">
        <f t="shared" si="168"/>
        <v>292.71859196167145</v>
      </c>
      <c r="Z150" s="222">
        <f t="shared" si="169"/>
        <v>2.1176470588235294</v>
      </c>
      <c r="AA150" s="178">
        <f t="shared" si="170"/>
        <v>1.2100840336134453</v>
      </c>
      <c r="AB150" s="178">
        <f t="shared" si="223"/>
        <v>0.27596486558424271</v>
      </c>
      <c r="AC150" s="178"/>
      <c r="AD150" s="178">
        <f t="shared" si="172"/>
        <v>0.46857142857142853</v>
      </c>
      <c r="AE150" s="560">
        <f t="shared" si="224"/>
        <v>1665.6751933372998</v>
      </c>
      <c r="AF150" s="543">
        <f t="shared" si="225"/>
        <v>6.723999999999998E-2</v>
      </c>
      <c r="AH150" s="178">
        <f t="shared" si="226"/>
        <v>2.2569620180721714</v>
      </c>
      <c r="AI150" s="178">
        <f t="shared" si="227"/>
        <v>2.532044396706052</v>
      </c>
      <c r="AJ150" s="178">
        <f t="shared" si="228"/>
        <v>2.4681810345970758</v>
      </c>
      <c r="AL150" s="560">
        <f t="shared" si="229"/>
        <v>320.00000000000006</v>
      </c>
      <c r="AM150" s="470">
        <f t="shared" si="230"/>
        <v>292.71859196167145</v>
      </c>
      <c r="AO150" s="470">
        <f t="shared" si="180"/>
        <v>320.00000000000006</v>
      </c>
      <c r="AP150" s="470">
        <f t="shared" si="181"/>
        <v>292.71859196167145</v>
      </c>
      <c r="AR150" s="6">
        <f t="shared" si="214"/>
        <v>3.4162503765081649</v>
      </c>
      <c r="AS150" s="6">
        <f t="shared" si="211"/>
        <v>1.9693678641047068</v>
      </c>
      <c r="AT150" s="6">
        <f t="shared" si="212"/>
        <v>1.4468825124034581</v>
      </c>
      <c r="AU150" s="178">
        <f t="shared" si="213"/>
        <v>0.57647058823529407</v>
      </c>
      <c r="AW150" s="6">
        <f>L*Iout^2/(2*Vripple1_spec*Vout*Npri_sec1^2)*1000000000*((1+N150)/(1-N150))^2</f>
        <v>21.552126200274348</v>
      </c>
      <c r="AX150" s="6">
        <f>L*F150^2/(2*Cout*Vout*Nps^2)*1000000000*((1+N150)/(1-N150))^2+F150*RCoutEsr</f>
        <v>9.7642728307503752</v>
      </c>
      <c r="AY150" s="6">
        <f>L*Iout2^2/(2*Vout_ripple2*Vout2*Npri_sec2^2)*1000000000*((1+N150)/(1-N150))^2</f>
        <v>8.4187992969821668</v>
      </c>
      <c r="AZ150" s="6">
        <f>L*G150^2/(2*Cout2*Vout2*Npri_sec2^2)*1000000000*((1+N150)/(1-N150))^2+G150*CoutEsr2</f>
        <v>4.0391690745118645</v>
      </c>
      <c r="BA150" s="6">
        <f>(H150+I150)/Efficiency/J150*AT150/Vinripple1</f>
        <v>1.564400585210757</v>
      </c>
      <c r="BB150" s="6"/>
      <c r="BC150" s="6"/>
      <c r="BD150" s="178">
        <f t="shared" si="185"/>
        <v>1.1099393951263608</v>
      </c>
      <c r="BE150" s="178">
        <f t="shared" si="186"/>
        <v>0.95137662439402348</v>
      </c>
      <c r="BF150" s="178">
        <f t="shared" si="187"/>
        <v>0.59461039024626461</v>
      </c>
      <c r="BG150" s="178"/>
      <c r="BH150" s="543">
        <f t="shared" si="188"/>
        <v>0.13551620069388187</v>
      </c>
      <c r="BI150" s="543">
        <f t="shared" si="189"/>
        <v>7.8750000000000014E-2</v>
      </c>
      <c r="BJ150" s="543">
        <f t="shared" si="190"/>
        <v>1.4635929598083571E-2</v>
      </c>
      <c r="BK150" s="543">
        <f t="shared" si="191"/>
        <v>2.9740666316105759E-2</v>
      </c>
      <c r="BL150">
        <f t="shared" si="192"/>
        <v>2.6099999999999999E-3</v>
      </c>
      <c r="BM150" s="470">
        <f t="shared" si="193"/>
        <v>261.25279660807121</v>
      </c>
      <c r="BN150" s="178">
        <f t="shared" si="194"/>
        <v>0.12800000000000003</v>
      </c>
      <c r="BO150" s="178">
        <f t="shared" si="195"/>
        <v>8.0000000000000016E-2</v>
      </c>
      <c r="BP150" s="543"/>
      <c r="BR150" s="470">
        <f t="shared" si="196"/>
        <v>208.00000000000006</v>
      </c>
      <c r="BS150" s="543">
        <f t="shared" si="197"/>
        <v>4.9278618434138867E-2</v>
      </c>
      <c r="BT150" s="543">
        <f t="shared" si="198"/>
        <v>3.6204699257734674E-2</v>
      </c>
      <c r="BU150" s="543">
        <f t="shared" si="199"/>
        <v>1.0606845485664453E-2</v>
      </c>
      <c r="BV150" s="543">
        <f t="shared" si="200"/>
        <v>0</v>
      </c>
      <c r="BW150" s="648">
        <f t="shared" si="231"/>
        <v>7.0375939849624106E-2</v>
      </c>
      <c r="BX150" s="470">
        <f t="shared" si="202"/>
        <v>166.46610302716209</v>
      </c>
      <c r="BY150" s="178">
        <f t="shared" si="203"/>
        <v>0.63571889963523331</v>
      </c>
      <c r="BZ150" s="6">
        <f t="shared" si="204"/>
        <v>6.2400000000000011</v>
      </c>
      <c r="CA150" s="178">
        <f t="shared" si="205"/>
        <v>0.90754146454868023</v>
      </c>
      <c r="CB150" s="6">
        <f t="shared" si="206"/>
        <v>90.754146454868021</v>
      </c>
      <c r="CC150">
        <f t="shared" si="207"/>
        <v>40.000000000000007</v>
      </c>
      <c r="CE150" s="577">
        <f t="shared" si="232"/>
        <v>-50</v>
      </c>
      <c r="CF150">
        <f t="shared" si="233"/>
        <v>-50</v>
      </c>
    </row>
    <row r="151" spans="5:84" x14ac:dyDescent="0.2">
      <c r="E151" s="175">
        <v>41</v>
      </c>
      <c r="F151" s="222">
        <f t="shared" si="234"/>
        <v>0.32800000000000001</v>
      </c>
      <c r="G151" s="222">
        <f t="shared" si="215"/>
        <v>0.20499999999999999</v>
      </c>
      <c r="H151" s="222">
        <f t="shared" si="216"/>
        <v>3.9359999999999999</v>
      </c>
      <c r="I151" s="222">
        <f t="shared" si="217"/>
        <v>2.46</v>
      </c>
      <c r="J151" s="556">
        <f t="shared" si="155"/>
        <v>9</v>
      </c>
      <c r="K151" s="452">
        <f t="shared" si="156"/>
        <v>12.25</v>
      </c>
      <c r="L151" s="452">
        <f t="shared" si="157"/>
        <v>21.25</v>
      </c>
      <c r="M151" s="452"/>
      <c r="N151" s="222">
        <f t="shared" si="158"/>
        <v>0.57647058823529407</v>
      </c>
      <c r="O151" s="177">
        <f t="shared" si="218"/>
        <v>6.2179004524886858</v>
      </c>
      <c r="P151" s="177">
        <f t="shared" si="219"/>
        <v>6.3150551470588203</v>
      </c>
      <c r="Q151" s="222">
        <f t="shared" si="161"/>
        <v>0.51815837104072382</v>
      </c>
      <c r="R151" s="222">
        <f t="shared" si="220"/>
        <v>0.51815837104072382</v>
      </c>
      <c r="S151" s="222">
        <f t="shared" si="221"/>
        <v>12</v>
      </c>
      <c r="T151" s="222">
        <f t="shared" si="222"/>
        <v>2.5953455066237026</v>
      </c>
      <c r="U151" s="222">
        <f t="shared" si="165"/>
        <v>2.0186020607073241</v>
      </c>
      <c r="V151" s="222">
        <f t="shared" si="166"/>
        <v>1.4830545752135442</v>
      </c>
      <c r="W151" s="202">
        <f t="shared" si="167"/>
        <v>350</v>
      </c>
      <c r="X151" s="452">
        <f t="shared" si="168"/>
        <v>285.57911410894781</v>
      </c>
      <c r="Z151" s="222">
        <f t="shared" si="169"/>
        <v>2.1176470588235294</v>
      </c>
      <c r="AA151" s="178">
        <f t="shared" si="170"/>
        <v>1.2100840336134453</v>
      </c>
      <c r="AB151" s="178">
        <f t="shared" si="223"/>
        <v>0.27596486558424271</v>
      </c>
      <c r="AC151" s="178"/>
      <c r="AD151" s="178">
        <f t="shared" si="172"/>
        <v>0.46857142857142853</v>
      </c>
      <c r="AE151" s="560">
        <f t="shared" si="224"/>
        <v>1707.3170731707321</v>
      </c>
      <c r="AF151" s="543">
        <f t="shared" si="225"/>
        <v>6.723999999999998E-2</v>
      </c>
      <c r="AH151" s="178">
        <f t="shared" si="226"/>
        <v>2.2849998883579663</v>
      </c>
      <c r="AI151" s="178">
        <f t="shared" si="227"/>
        <v>2.5953455066237026</v>
      </c>
      <c r="AJ151" s="178">
        <f t="shared" si="228"/>
        <v>2.5150707456471872</v>
      </c>
      <c r="AL151" s="560">
        <f t="shared" si="229"/>
        <v>328</v>
      </c>
      <c r="AM151" s="470">
        <f t="shared" si="230"/>
        <v>285.57911410894781</v>
      </c>
      <c r="AO151" s="470">
        <f t="shared" si="180"/>
        <v>328</v>
      </c>
      <c r="AP151" s="470">
        <f t="shared" si="181"/>
        <v>285.57911410894781</v>
      </c>
      <c r="AR151" s="6">
        <f t="shared" si="214"/>
        <v>3.5016566359208685</v>
      </c>
      <c r="AS151" s="6">
        <f t="shared" si="211"/>
        <v>2.0186020607073241</v>
      </c>
      <c r="AT151" s="6">
        <f t="shared" si="212"/>
        <v>1.4830545752135444</v>
      </c>
      <c r="AU151" s="178">
        <f t="shared" si="213"/>
        <v>0.57647058823529407</v>
      </c>
      <c r="AW151" s="6">
        <f>L*Iout^2/(2*Vripple1_spec*Vout*Npri_sec1^2)*1000000000*((1+N151)/(1-N151))^2</f>
        <v>21.552126200274348</v>
      </c>
      <c r="AX151" s="6">
        <f>L*F151^2/(2*Cout*Vout*Nps^2)*1000000000*((1+N151)/(1-N151))^2+F151*RCoutEsr</f>
        <v>10.233989142807109</v>
      </c>
      <c r="AY151" s="6">
        <f>L*Iout2^2/(2*Vout_ripple2*Vout2*Npri_sec2^2)*1000000000*((1+N151)/(1-N151))^2</f>
        <v>8.4187992969821668</v>
      </c>
      <c r="AZ151" s="6">
        <f>L*G151^2/(2*Cout2*Vout2*Npri_sec2^2)*1000000000*((1+N151)/(1-N151))^2+G151*CoutEsr2</f>
        <v>4.2282770089090267</v>
      </c>
      <c r="BA151" s="6">
        <f>(H151+I151)/Efficiency/J151*AT151/Vinripple1</f>
        <v>1.6435983648370509</v>
      </c>
      <c r="BB151" s="6"/>
      <c r="BC151" s="6"/>
      <c r="BD151" s="178">
        <f t="shared" si="185"/>
        <v>1.1376878800045194</v>
      </c>
      <c r="BE151" s="178">
        <f t="shared" si="186"/>
        <v>0.97516104000387382</v>
      </c>
      <c r="BF151" s="178">
        <f t="shared" si="187"/>
        <v>0.60947565000242099</v>
      </c>
      <c r="BG151" s="178"/>
      <c r="BH151" s="543">
        <f t="shared" si="188"/>
        <v>0.14237670835400953</v>
      </c>
      <c r="BI151" s="543">
        <f t="shared" si="189"/>
        <v>7.8750000000000001E-2</v>
      </c>
      <c r="BJ151" s="543">
        <f t="shared" si="190"/>
        <v>1.4278955705447389E-2</v>
      </c>
      <c r="BK151" s="543">
        <f t="shared" si="191"/>
        <v>2.9015284210834894E-2</v>
      </c>
      <c r="BL151">
        <f t="shared" si="192"/>
        <v>2.6099999999999999E-3</v>
      </c>
      <c r="BM151" s="470">
        <f t="shared" si="193"/>
        <v>267.03094827029184</v>
      </c>
      <c r="BN151" s="178">
        <f t="shared" si="194"/>
        <v>0.13120000000000001</v>
      </c>
      <c r="BO151" s="178">
        <f t="shared" si="195"/>
        <v>8.2000000000000003E-2</v>
      </c>
      <c r="BP151" s="543"/>
      <c r="BR151" s="470">
        <f t="shared" si="196"/>
        <v>213.2</v>
      </c>
      <c r="BS151" s="543">
        <f t="shared" si="197"/>
        <v>5.1773348492367102E-2</v>
      </c>
      <c r="BT151" s="543">
        <f t="shared" si="198"/>
        <v>3.8037562157657474E-2</v>
      </c>
      <c r="BU151" s="543">
        <f t="shared" si="199"/>
        <v>1.1143817038376207E-2</v>
      </c>
      <c r="BV151" s="543">
        <f t="shared" si="200"/>
        <v>0</v>
      </c>
      <c r="BW151" s="648">
        <f t="shared" si="231"/>
        <v>7.2135338345864677E-2</v>
      </c>
      <c r="BX151" s="470">
        <f t="shared" si="202"/>
        <v>173.09006603426548</v>
      </c>
      <c r="BY151" s="178">
        <f t="shared" si="203"/>
        <v>0.65332101430455736</v>
      </c>
      <c r="BZ151" s="6">
        <f t="shared" si="204"/>
        <v>6.3959999999999999</v>
      </c>
      <c r="CA151" s="178">
        <f t="shared" si="205"/>
        <v>0.90732142670495053</v>
      </c>
      <c r="CB151" s="6">
        <f t="shared" si="206"/>
        <v>90.732142670495051</v>
      </c>
      <c r="CC151">
        <f t="shared" si="207"/>
        <v>41</v>
      </c>
      <c r="CE151" s="577">
        <f t="shared" si="232"/>
        <v>-50</v>
      </c>
      <c r="CF151">
        <f t="shared" si="233"/>
        <v>-50</v>
      </c>
    </row>
    <row r="152" spans="5:84" x14ac:dyDescent="0.2">
      <c r="E152" s="175">
        <v>42</v>
      </c>
      <c r="F152" s="222">
        <f t="shared" si="234"/>
        <v>0.33600000000000002</v>
      </c>
      <c r="G152" s="222">
        <f t="shared" si="215"/>
        <v>0.21</v>
      </c>
      <c r="H152" s="222">
        <f t="shared" si="216"/>
        <v>4.032</v>
      </c>
      <c r="I152" s="222">
        <f t="shared" si="217"/>
        <v>2.52</v>
      </c>
      <c r="J152" s="556">
        <f t="shared" si="155"/>
        <v>9</v>
      </c>
      <c r="K152" s="452">
        <f t="shared" si="156"/>
        <v>12.25</v>
      </c>
      <c r="L152" s="452">
        <f t="shared" si="157"/>
        <v>21.25</v>
      </c>
      <c r="M152" s="452"/>
      <c r="N152" s="222">
        <f t="shared" si="158"/>
        <v>0.57647058823529407</v>
      </c>
      <c r="O152" s="177">
        <f t="shared" si="218"/>
        <v>6.2179004524886858</v>
      </c>
      <c r="P152" s="177">
        <f t="shared" si="219"/>
        <v>6.3150551470588203</v>
      </c>
      <c r="Q152" s="222">
        <f t="shared" si="161"/>
        <v>0.51815837104072382</v>
      </c>
      <c r="R152" s="222">
        <f t="shared" si="220"/>
        <v>0.51815837104072382</v>
      </c>
      <c r="S152" s="222">
        <f t="shared" si="221"/>
        <v>12</v>
      </c>
      <c r="T152" s="222">
        <f t="shared" si="222"/>
        <v>2.6586466165413536</v>
      </c>
      <c r="U152" s="222">
        <f t="shared" si="165"/>
        <v>2.0678362573099416</v>
      </c>
      <c r="V152" s="222">
        <f t="shared" si="166"/>
        <v>1.5192266380236306</v>
      </c>
      <c r="W152" s="202">
        <f t="shared" si="167"/>
        <v>350</v>
      </c>
      <c r="X152" s="452">
        <f t="shared" si="168"/>
        <v>278.77961139206815</v>
      </c>
      <c r="Z152" s="222">
        <f t="shared" si="169"/>
        <v>2.1176470588235294</v>
      </c>
      <c r="AA152" s="178">
        <f t="shared" si="170"/>
        <v>1.2100840336134453</v>
      </c>
      <c r="AB152" s="178">
        <f t="shared" si="223"/>
        <v>0.27596486558424271</v>
      </c>
      <c r="AC152" s="178"/>
      <c r="AD152" s="178">
        <f t="shared" si="172"/>
        <v>0.46857142857142853</v>
      </c>
      <c r="AE152" s="560">
        <f t="shared" si="224"/>
        <v>1748.9589530041646</v>
      </c>
      <c r="AF152" s="543">
        <f t="shared" si="225"/>
        <v>6.723999999999998E-2</v>
      </c>
      <c r="AH152" s="178">
        <f t="shared" si="226"/>
        <v>2.3126978679826355</v>
      </c>
      <c r="AI152" s="178">
        <f t="shared" si="227"/>
        <v>2.6586466165413536</v>
      </c>
      <c r="AJ152" s="178">
        <f t="shared" si="228"/>
        <v>2.5619604566972991</v>
      </c>
      <c r="AL152" s="560">
        <f t="shared" si="229"/>
        <v>336</v>
      </c>
      <c r="AM152" s="470">
        <f t="shared" si="230"/>
        <v>278.77961139206815</v>
      </c>
      <c r="AO152" s="470">
        <f t="shared" si="180"/>
        <v>336</v>
      </c>
      <c r="AP152" s="470">
        <f t="shared" si="181"/>
        <v>278.77961139206815</v>
      </c>
      <c r="AR152" s="6">
        <f t="shared" si="214"/>
        <v>3.5870628953335717</v>
      </c>
      <c r="AS152" s="6">
        <f t="shared" si="211"/>
        <v>2.0678362573099416</v>
      </c>
      <c r="AT152" s="6">
        <f t="shared" si="212"/>
        <v>1.5192266380236301</v>
      </c>
      <c r="AU152" s="178">
        <f t="shared" si="213"/>
        <v>0.57647058823529418</v>
      </c>
      <c r="AW152" s="6">
        <f>L*Iout^2/(2*Vripple1_spec*Vout*Npri_sec1^2)*1000000000*((1+N152)/(1-N152))^2</f>
        <v>21.552126200274348</v>
      </c>
      <c r="AX152" s="6">
        <f>L*F152^2/(2*Cout*Vout*Nps^2)*1000000000*((1+N152)/(1-N152))^2+F152*RCoutEsr</f>
        <v>10.714710795902285</v>
      </c>
      <c r="AY152" s="6">
        <f>L*Iout2^2/(2*Vout_ripple2*Vout2*Npri_sec2^2)*1000000000*((1+N152)/(1-N152))^2</f>
        <v>8.4187992969821668</v>
      </c>
      <c r="AZ152" s="6">
        <f>L*G152^2/(2*Cout2*Vout2*Npri_sec2^2)*1000000000*((1+N152)/(1-N152))^2+G152*CoutEsr2</f>
        <v>4.4216839046493286</v>
      </c>
      <c r="BA152" s="6">
        <f>(H152+I152)/Efficiency/J152*AT152/Vinripple1</f>
        <v>1.7247516451948577</v>
      </c>
      <c r="BB152" s="6"/>
      <c r="BC152" s="6"/>
      <c r="BD152" s="178">
        <f t="shared" si="185"/>
        <v>1.1654363648826784</v>
      </c>
      <c r="BE152" s="178">
        <f t="shared" si="186"/>
        <v>0.99894545561372416</v>
      </c>
      <c r="BF152" s="178">
        <f t="shared" si="187"/>
        <v>0.62434090975857748</v>
      </c>
      <c r="BG152" s="178"/>
      <c r="BH152" s="543">
        <f t="shared" si="188"/>
        <v>0.14940661126500468</v>
      </c>
      <c r="BI152" s="543">
        <f t="shared" si="189"/>
        <v>7.8750000000000014E-2</v>
      </c>
      <c r="BJ152" s="543">
        <f t="shared" si="190"/>
        <v>1.3938980569603406E-2</v>
      </c>
      <c r="BK152" s="543">
        <f t="shared" si="191"/>
        <v>2.8324444110576927E-2</v>
      </c>
      <c r="BL152">
        <f t="shared" si="192"/>
        <v>2.6099999999999999E-3</v>
      </c>
      <c r="BM152" s="470">
        <f t="shared" si="193"/>
        <v>273.03003594518503</v>
      </c>
      <c r="BN152" s="178">
        <f t="shared" si="194"/>
        <v>0.13440000000000002</v>
      </c>
      <c r="BO152" s="178">
        <f t="shared" si="195"/>
        <v>8.4000000000000005E-2</v>
      </c>
      <c r="BP152" s="543"/>
      <c r="BR152" s="470">
        <f t="shared" si="196"/>
        <v>218.40000000000003</v>
      </c>
      <c r="BS152" s="543">
        <f t="shared" si="197"/>
        <v>5.4329676823638061E-2</v>
      </c>
      <c r="BT152" s="543">
        <f t="shared" si="198"/>
        <v>3.9915680931652438E-2</v>
      </c>
      <c r="BU152" s="543">
        <f t="shared" si="199"/>
        <v>1.1694047147945046E-2</v>
      </c>
      <c r="BV152" s="543">
        <f t="shared" si="200"/>
        <v>0</v>
      </c>
      <c r="BW152" s="648">
        <f t="shared" si="231"/>
        <v>7.3894736842105277E-2</v>
      </c>
      <c r="BX152" s="470">
        <f t="shared" si="202"/>
        <v>179.83414174534082</v>
      </c>
      <c r="BY152" s="178">
        <f t="shared" si="203"/>
        <v>0.67126417769052593</v>
      </c>
      <c r="BZ152" s="6">
        <f t="shared" si="204"/>
        <v>6.5519999999999996</v>
      </c>
      <c r="CA152" s="178">
        <f t="shared" si="205"/>
        <v>0.90706913644889731</v>
      </c>
      <c r="CB152" s="6">
        <f t="shared" si="206"/>
        <v>90.706913644889724</v>
      </c>
      <c r="CC152">
        <f t="shared" si="207"/>
        <v>42</v>
      </c>
      <c r="CE152" s="577">
        <f t="shared" si="232"/>
        <v>-50</v>
      </c>
      <c r="CF152">
        <f t="shared" si="233"/>
        <v>-50</v>
      </c>
    </row>
    <row r="153" spans="5:84" x14ac:dyDescent="0.2">
      <c r="E153" s="175">
        <v>43</v>
      </c>
      <c r="F153" s="222">
        <f t="shared" si="234"/>
        <v>0.34400000000000003</v>
      </c>
      <c r="G153" s="222">
        <f t="shared" si="215"/>
        <v>0.215</v>
      </c>
      <c r="H153" s="222">
        <f t="shared" si="216"/>
        <v>4.1280000000000001</v>
      </c>
      <c r="I153" s="222">
        <f t="shared" si="217"/>
        <v>2.58</v>
      </c>
      <c r="J153" s="556">
        <f t="shared" si="155"/>
        <v>9</v>
      </c>
      <c r="K153" s="452">
        <f t="shared" si="156"/>
        <v>12.25</v>
      </c>
      <c r="L153" s="452">
        <f t="shared" si="157"/>
        <v>21.25</v>
      </c>
      <c r="M153" s="452"/>
      <c r="N153" s="222">
        <f t="shared" si="158"/>
        <v>0.57647058823529407</v>
      </c>
      <c r="O153" s="177">
        <f t="shared" si="218"/>
        <v>6.2179004524886858</v>
      </c>
      <c r="P153" s="177">
        <f t="shared" si="219"/>
        <v>6.3150551470588203</v>
      </c>
      <c r="Q153" s="222">
        <f t="shared" si="161"/>
        <v>0.51815837104072382</v>
      </c>
      <c r="R153" s="222">
        <f t="shared" si="220"/>
        <v>0.51815837104072382</v>
      </c>
      <c r="S153" s="222">
        <f t="shared" si="221"/>
        <v>12</v>
      </c>
      <c r="T153" s="222">
        <f t="shared" si="222"/>
        <v>2.7219477264590051</v>
      </c>
      <c r="U153" s="222">
        <f t="shared" si="165"/>
        <v>2.1170704539125591</v>
      </c>
      <c r="V153" s="222">
        <f t="shared" si="166"/>
        <v>1.5553987008337171</v>
      </c>
      <c r="W153" s="202">
        <f t="shared" si="167"/>
        <v>350</v>
      </c>
      <c r="X153" s="452">
        <f t="shared" si="168"/>
        <v>272.29636461550842</v>
      </c>
      <c r="Z153" s="222">
        <f t="shared" si="169"/>
        <v>2.1176470588235294</v>
      </c>
      <c r="AA153" s="178">
        <f t="shared" si="170"/>
        <v>1.2100840336134453</v>
      </c>
      <c r="AB153" s="178">
        <f t="shared" si="223"/>
        <v>0.27596486558424271</v>
      </c>
      <c r="AC153" s="178"/>
      <c r="AD153" s="178">
        <f t="shared" si="172"/>
        <v>0.46857142857142853</v>
      </c>
      <c r="AE153" s="560">
        <f t="shared" si="224"/>
        <v>1790.6008328375972</v>
      </c>
      <c r="AF153" s="543">
        <f t="shared" si="225"/>
        <v>6.723999999999998E-2</v>
      </c>
      <c r="AH153" s="178">
        <f t="shared" si="226"/>
        <v>2.3400680262220881</v>
      </c>
      <c r="AI153" s="178">
        <f t="shared" si="227"/>
        <v>2.7219477264590051</v>
      </c>
      <c r="AJ153" s="178">
        <f t="shared" si="228"/>
        <v>2.608850167747411</v>
      </c>
      <c r="AL153" s="560">
        <f t="shared" si="229"/>
        <v>344</v>
      </c>
      <c r="AM153" s="470">
        <f t="shared" si="230"/>
        <v>272.29636461550842</v>
      </c>
      <c r="AO153" s="470">
        <f t="shared" si="180"/>
        <v>344</v>
      </c>
      <c r="AP153" s="470">
        <f t="shared" si="181"/>
        <v>272.29636461550842</v>
      </c>
      <c r="AR153" s="6">
        <f t="shared" si="214"/>
        <v>3.6724691547462758</v>
      </c>
      <c r="AS153" s="6">
        <f t="shared" si="211"/>
        <v>2.1170704539125591</v>
      </c>
      <c r="AT153" s="6">
        <f t="shared" si="212"/>
        <v>1.5553987008337167</v>
      </c>
      <c r="AU153" s="178">
        <f t="shared" si="213"/>
        <v>0.57647058823529418</v>
      </c>
      <c r="AW153" s="6">
        <f>L*Iout^2/(2*Vripple1_spec*Vout*Npri_sec1^2)*1000000000*((1+N153)/(1-N153))^2</f>
        <v>21.552126200274348</v>
      </c>
      <c r="AX153" s="6">
        <f>L*F153^2/(2*Cout*Vout*Nps^2)*1000000000*((1+N153)/(1-N153))^2+F153*RCoutEsr</f>
        <v>11.206437790035901</v>
      </c>
      <c r="AY153" s="6">
        <f>L*Iout2^2/(2*Vout_ripple2*Vout2*Npri_sec2^2)*1000000000*((1+N153)/(1-N153))^2</f>
        <v>8.4187992969821668</v>
      </c>
      <c r="AZ153" s="6">
        <f>L*G153^2/(2*Cout2*Vout2*Npri_sec2^2)*1000000000*((1+N153)/(1-N153))^2+G153*CoutEsr2</f>
        <v>4.6193897617327719</v>
      </c>
      <c r="BA153" s="6">
        <f>(H153+I153)/Efficiency/J153*AT153/Vinripple1</f>
        <v>1.8078604262841793</v>
      </c>
      <c r="BB153" s="6"/>
      <c r="BC153" s="6"/>
      <c r="BD153" s="178">
        <f t="shared" si="185"/>
        <v>1.1931848497608375</v>
      </c>
      <c r="BE153" s="178">
        <f t="shared" si="186"/>
        <v>1.0227298712235748</v>
      </c>
      <c r="BF153" s="178">
        <f t="shared" si="187"/>
        <v>0.63920616951473419</v>
      </c>
      <c r="BG153" s="178"/>
      <c r="BH153" s="543">
        <f t="shared" si="188"/>
        <v>0.15660590942686717</v>
      </c>
      <c r="BI153" s="543">
        <f t="shared" si="189"/>
        <v>7.8750000000000014E-2</v>
      </c>
      <c r="BJ153" s="543">
        <f t="shared" si="190"/>
        <v>1.361481823077542E-2</v>
      </c>
      <c r="BK153" s="543">
        <f t="shared" si="191"/>
        <v>2.7665736108005368E-2</v>
      </c>
      <c r="BL153">
        <f t="shared" si="192"/>
        <v>2.6099999999999999E-3</v>
      </c>
      <c r="BM153" s="470">
        <f t="shared" si="193"/>
        <v>279.246463765648</v>
      </c>
      <c r="BN153" s="178">
        <f t="shared" si="194"/>
        <v>0.13760000000000003</v>
      </c>
      <c r="BO153" s="178">
        <f t="shared" si="195"/>
        <v>8.6000000000000007E-2</v>
      </c>
      <c r="BP153" s="543"/>
      <c r="BR153" s="470">
        <f t="shared" si="196"/>
        <v>223.60000000000002</v>
      </c>
      <c r="BS153" s="543">
        <f t="shared" si="197"/>
        <v>5.6947603427951694E-2</v>
      </c>
      <c r="BT153" s="543">
        <f t="shared" si="198"/>
        <v>4.1839055579719599E-2</v>
      </c>
      <c r="BU153" s="543">
        <f t="shared" si="199"/>
        <v>1.2257535814370972E-2</v>
      </c>
      <c r="BV153" s="543">
        <f t="shared" si="200"/>
        <v>0</v>
      </c>
      <c r="BW153" s="648">
        <f t="shared" si="231"/>
        <v>7.5654135338345904E-2</v>
      </c>
      <c r="BX153" s="470">
        <f t="shared" si="202"/>
        <v>186.69833016038817</v>
      </c>
      <c r="BY153" s="178">
        <f t="shared" si="203"/>
        <v>0.68954479392603607</v>
      </c>
      <c r="BZ153" s="6">
        <f t="shared" si="204"/>
        <v>6.7080000000000002</v>
      </c>
      <c r="CA153" s="178">
        <f t="shared" si="205"/>
        <v>0.90678734456705068</v>
      </c>
      <c r="CB153" s="6">
        <f t="shared" si="206"/>
        <v>90.678734456705072</v>
      </c>
      <c r="CC153">
        <f t="shared" si="207"/>
        <v>43</v>
      </c>
      <c r="CE153" s="577">
        <f t="shared" si="232"/>
        <v>-50</v>
      </c>
      <c r="CF153">
        <f t="shared" si="233"/>
        <v>-50</v>
      </c>
    </row>
    <row r="154" spans="5:84" x14ac:dyDescent="0.2">
      <c r="E154" s="175">
        <v>44</v>
      </c>
      <c r="F154" s="222">
        <f t="shared" si="234"/>
        <v>0.35200000000000004</v>
      </c>
      <c r="G154" s="222">
        <f t="shared" si="215"/>
        <v>0.22</v>
      </c>
      <c r="H154" s="222">
        <f t="shared" si="216"/>
        <v>4.2240000000000002</v>
      </c>
      <c r="I154" s="222">
        <f t="shared" si="217"/>
        <v>2.64</v>
      </c>
      <c r="J154" s="556">
        <f t="shared" si="155"/>
        <v>9</v>
      </c>
      <c r="K154" s="452">
        <f t="shared" si="156"/>
        <v>12.25</v>
      </c>
      <c r="L154" s="452">
        <f t="shared" si="157"/>
        <v>21.25</v>
      </c>
      <c r="M154" s="452"/>
      <c r="N154" s="222">
        <f t="shared" si="158"/>
        <v>0.57647058823529407</v>
      </c>
      <c r="O154" s="177">
        <f t="shared" si="218"/>
        <v>6.2179004524886858</v>
      </c>
      <c r="P154" s="177">
        <f t="shared" si="219"/>
        <v>6.3150551470588203</v>
      </c>
      <c r="Q154" s="222">
        <f t="shared" si="161"/>
        <v>0.51815837104072382</v>
      </c>
      <c r="R154" s="222">
        <f t="shared" si="220"/>
        <v>0.51815837104072382</v>
      </c>
      <c r="S154" s="222">
        <f t="shared" si="221"/>
        <v>12</v>
      </c>
      <c r="T154" s="222">
        <f t="shared" si="222"/>
        <v>2.785248836376657</v>
      </c>
      <c r="U154" s="222">
        <f t="shared" si="165"/>
        <v>2.1663046505151775</v>
      </c>
      <c r="V154" s="222">
        <f t="shared" si="166"/>
        <v>1.5915707636438037</v>
      </c>
      <c r="W154" s="202">
        <f t="shared" si="167"/>
        <v>350</v>
      </c>
      <c r="X154" s="452">
        <f t="shared" si="168"/>
        <v>266.10781087424681</v>
      </c>
      <c r="Z154" s="222">
        <f t="shared" si="169"/>
        <v>2.1176470588235294</v>
      </c>
      <c r="AA154" s="178">
        <f t="shared" si="170"/>
        <v>1.2100840336134453</v>
      </c>
      <c r="AB154" s="178">
        <f t="shared" si="223"/>
        <v>0.27596486558424271</v>
      </c>
      <c r="AC154" s="178"/>
      <c r="AD154" s="178">
        <f t="shared" si="172"/>
        <v>0.46857142857142853</v>
      </c>
      <c r="AE154" s="560">
        <f t="shared" si="224"/>
        <v>1832.2427126710295</v>
      </c>
      <c r="AF154" s="543">
        <f t="shared" si="225"/>
        <v>6.723999999999998E-2</v>
      </c>
      <c r="AH154" s="178">
        <f t="shared" si="226"/>
        <v>2.3671217345380549</v>
      </c>
      <c r="AI154" s="178">
        <f t="shared" si="227"/>
        <v>2.785248836376657</v>
      </c>
      <c r="AJ154" s="178">
        <f t="shared" si="228"/>
        <v>2.6557398787975242</v>
      </c>
      <c r="AL154" s="560">
        <f t="shared" si="229"/>
        <v>352.00000000000006</v>
      </c>
      <c r="AM154" s="470">
        <f t="shared" si="230"/>
        <v>266.10781087424681</v>
      </c>
      <c r="AO154" s="470">
        <f t="shared" si="180"/>
        <v>352.00000000000006</v>
      </c>
      <c r="AP154" s="470">
        <f t="shared" si="181"/>
        <v>266.10781087424681</v>
      </c>
      <c r="AR154" s="6">
        <f t="shared" si="214"/>
        <v>3.7578754141589807</v>
      </c>
      <c r="AS154" s="6">
        <f t="shared" si="211"/>
        <v>2.1663046505151775</v>
      </c>
      <c r="AT154" s="6">
        <f t="shared" si="212"/>
        <v>1.5915707636438032</v>
      </c>
      <c r="AU154" s="178">
        <f t="shared" si="213"/>
        <v>0.57647058823529418</v>
      </c>
      <c r="AW154" s="6">
        <f>L*Iout^2/(2*Vripple1_spec*Vout*Npri_sec1^2)*1000000000*((1+N154)/(1-N154))^2</f>
        <v>21.552126200274348</v>
      </c>
      <c r="AX154" s="6">
        <f>L*F154^2/(2*Cout*Vout*Nps^2)*1000000000*((1+N154)/(1-N154))^2+F154*RCoutEsr</f>
        <v>11.709170125207951</v>
      </c>
      <c r="AY154" s="6">
        <f>L*Iout2^2/(2*Vout_ripple2*Vout2*Npri_sec2^2)*1000000000*((1+N154)/(1-N154))^2</f>
        <v>8.4187992969821668</v>
      </c>
      <c r="AZ154" s="6">
        <f>L*G154^2/(2*Cout2*Vout2*Npri_sec2^2)*1000000000*((1+N154)/(1-N154))^2+G154*CoutEsr2</f>
        <v>4.8213945801593558</v>
      </c>
      <c r="BA154" s="6">
        <f>(H154+I154)/Efficiency/J154*AT154/Vinripple1</f>
        <v>1.8929247081050147</v>
      </c>
      <c r="BB154" s="6"/>
      <c r="BC154" s="6"/>
      <c r="BD154" s="178">
        <f t="shared" si="185"/>
        <v>1.2209333346389968</v>
      </c>
      <c r="BE154" s="178">
        <f t="shared" si="186"/>
        <v>1.0465142868334256</v>
      </c>
      <c r="BF154" s="178">
        <f t="shared" si="187"/>
        <v>0.6540714292708909</v>
      </c>
      <c r="BG154" s="178"/>
      <c r="BH154" s="543">
        <f t="shared" si="188"/>
        <v>0.16397460283959706</v>
      </c>
      <c r="BI154" s="543">
        <f t="shared" si="189"/>
        <v>7.8750000000000014E-2</v>
      </c>
      <c r="BJ154" s="543">
        <f t="shared" si="190"/>
        <v>1.3305390543712339E-2</v>
      </c>
      <c r="BK154" s="543">
        <f t="shared" si="191"/>
        <v>2.7036969378277965E-2</v>
      </c>
      <c r="BL154">
        <f t="shared" si="192"/>
        <v>2.6099999999999999E-3</v>
      </c>
      <c r="BM154" s="470">
        <f t="shared" si="193"/>
        <v>285.67696276158739</v>
      </c>
      <c r="BN154" s="178">
        <f t="shared" si="194"/>
        <v>0.14080000000000001</v>
      </c>
      <c r="BO154" s="178">
        <f t="shared" si="195"/>
        <v>8.8000000000000009E-2</v>
      </c>
      <c r="BP154" s="543"/>
      <c r="BR154" s="470">
        <f t="shared" si="196"/>
        <v>228.8</v>
      </c>
      <c r="BS154" s="543">
        <f t="shared" si="197"/>
        <v>5.9627128305308023E-2</v>
      </c>
      <c r="BT154" s="543">
        <f t="shared" si="198"/>
        <v>4.3807686101858936E-2</v>
      </c>
      <c r="BU154" s="543">
        <f t="shared" si="199"/>
        <v>1.2834283037653981E-2</v>
      </c>
      <c r="BV154" s="543">
        <f t="shared" si="200"/>
        <v>0</v>
      </c>
      <c r="BW154" s="648">
        <f t="shared" si="231"/>
        <v>7.7413533834586518E-2</v>
      </c>
      <c r="BX154" s="470">
        <f t="shared" si="202"/>
        <v>193.68263127940745</v>
      </c>
      <c r="BY154" s="178">
        <f t="shared" si="203"/>
        <v>0.70815959404099482</v>
      </c>
      <c r="BZ154" s="6">
        <f t="shared" si="204"/>
        <v>6.8640000000000008</v>
      </c>
      <c r="CA154" s="178">
        <f t="shared" si="205"/>
        <v>0.90647851709328875</v>
      </c>
      <c r="CB154" s="6">
        <f t="shared" si="206"/>
        <v>90.647851709328876</v>
      </c>
      <c r="CC154">
        <f t="shared" si="207"/>
        <v>44</v>
      </c>
      <c r="CE154" s="577">
        <f t="shared" si="232"/>
        <v>-50</v>
      </c>
      <c r="CF154">
        <f t="shared" si="233"/>
        <v>-50</v>
      </c>
    </row>
    <row r="155" spans="5:84" x14ac:dyDescent="0.2">
      <c r="E155" s="175">
        <v>45</v>
      </c>
      <c r="F155" s="222">
        <f t="shared" si="234"/>
        <v>0.36000000000000004</v>
      </c>
      <c r="G155" s="222">
        <f t="shared" si="215"/>
        <v>0.22500000000000001</v>
      </c>
      <c r="H155" s="222">
        <f t="shared" si="216"/>
        <v>4.32</v>
      </c>
      <c r="I155" s="222">
        <f t="shared" si="217"/>
        <v>2.7</v>
      </c>
      <c r="J155" s="556">
        <f t="shared" si="155"/>
        <v>9</v>
      </c>
      <c r="K155" s="452">
        <f t="shared" si="156"/>
        <v>12.25</v>
      </c>
      <c r="L155" s="452">
        <f t="shared" si="157"/>
        <v>21.25</v>
      </c>
      <c r="M155" s="452"/>
      <c r="N155" s="222">
        <f t="shared" si="158"/>
        <v>0.57647058823529407</v>
      </c>
      <c r="O155" s="177">
        <f t="shared" si="218"/>
        <v>6.2179004524886858</v>
      </c>
      <c r="P155" s="177">
        <f t="shared" si="219"/>
        <v>6.3150551470588203</v>
      </c>
      <c r="Q155" s="222">
        <f t="shared" si="161"/>
        <v>0.51815837104072382</v>
      </c>
      <c r="R155" s="222">
        <f t="shared" si="220"/>
        <v>0.51815837104072382</v>
      </c>
      <c r="S155" s="222">
        <f t="shared" si="221"/>
        <v>12</v>
      </c>
      <c r="T155" s="222">
        <f t="shared" si="222"/>
        <v>2.848549946294308</v>
      </c>
      <c r="U155" s="222">
        <f t="shared" si="165"/>
        <v>2.215538847117795</v>
      </c>
      <c r="V155" s="222">
        <f t="shared" si="166"/>
        <v>1.6277428264538902</v>
      </c>
      <c r="W155" s="202">
        <f t="shared" si="167"/>
        <v>350</v>
      </c>
      <c r="X155" s="452">
        <f t="shared" si="168"/>
        <v>260.1943039659302</v>
      </c>
      <c r="Z155" s="222">
        <f t="shared" si="169"/>
        <v>2.1176470588235294</v>
      </c>
      <c r="AA155" s="178">
        <f t="shared" si="170"/>
        <v>1.2100840336134453</v>
      </c>
      <c r="AB155" s="178">
        <f t="shared" si="223"/>
        <v>0.27596486558424271</v>
      </c>
      <c r="AC155" s="178"/>
      <c r="AD155" s="178">
        <f t="shared" si="172"/>
        <v>0.46857142857142853</v>
      </c>
      <c r="AE155" s="560">
        <f t="shared" si="224"/>
        <v>1873.884592504462</v>
      </c>
      <c r="AF155" s="543">
        <f t="shared" si="225"/>
        <v>6.723999999999998E-2</v>
      </c>
      <c r="AH155" s="178">
        <f t="shared" si="226"/>
        <v>2.3938697217889615</v>
      </c>
      <c r="AI155" s="178">
        <f t="shared" si="227"/>
        <v>2.848549946294308</v>
      </c>
      <c r="AJ155" s="178">
        <f t="shared" si="228"/>
        <v>2.7026295898476356</v>
      </c>
      <c r="AL155" s="560">
        <f t="shared" si="229"/>
        <v>360.00000000000006</v>
      </c>
      <c r="AM155" s="470">
        <f t="shared" si="230"/>
        <v>260.1943039659302</v>
      </c>
      <c r="AO155" s="470">
        <f t="shared" si="180"/>
        <v>360.00000000000006</v>
      </c>
      <c r="AP155" s="470">
        <f t="shared" si="181"/>
        <v>260.1943039659302</v>
      </c>
      <c r="AR155" s="6">
        <f t="shared" si="214"/>
        <v>3.8432816735716848</v>
      </c>
      <c r="AS155" s="6">
        <f t="shared" si="211"/>
        <v>2.215538847117795</v>
      </c>
      <c r="AT155" s="6">
        <f t="shared" si="212"/>
        <v>1.6277428264538898</v>
      </c>
      <c r="AU155" s="178">
        <f t="shared" si="213"/>
        <v>0.57647058823529418</v>
      </c>
      <c r="AW155" s="6">
        <f>L*Iout^2/(2*Vripple1_spec*Vout*Npri_sec1^2)*1000000000*((1+N155)/(1-N155))^2</f>
        <v>21.552126200274348</v>
      </c>
      <c r="AX155" s="6">
        <f>L*F155^2/(2*Cout*Vout*Nps^2)*1000000000*((1+N155)/(1-N155))^2+F155*RCoutEsr</f>
        <v>12.22290780141844</v>
      </c>
      <c r="AY155" s="6">
        <f>L*Iout2^2/(2*Vout_ripple2*Vout2*Npri_sec2^2)*1000000000*((1+N155)/(1-N155))^2</f>
        <v>8.4187992969821668</v>
      </c>
      <c r="AZ155" s="6">
        <f>L*G155^2/(2*Cout2*Vout2*Npri_sec2^2)*1000000000*((1+N155)/(1-N155))^2+G155*CoutEsr2</f>
        <v>5.0276983599290768</v>
      </c>
      <c r="BA155" s="6">
        <f>(H155+I155)/Efficiency/J155*AT155/Vinripple1</f>
        <v>1.9799444906573631</v>
      </c>
      <c r="BB155" s="6"/>
      <c r="BC155" s="6"/>
      <c r="BD155" s="178">
        <f t="shared" si="185"/>
        <v>1.2486818195171556</v>
      </c>
      <c r="BE155" s="178">
        <f t="shared" si="186"/>
        <v>1.0702987024432762</v>
      </c>
      <c r="BF155" s="178">
        <f t="shared" si="187"/>
        <v>0.6689366890270475</v>
      </c>
      <c r="BG155" s="178"/>
      <c r="BH155" s="543">
        <f t="shared" si="188"/>
        <v>0.17151269150319418</v>
      </c>
      <c r="BI155" s="543">
        <f t="shared" si="189"/>
        <v>7.8750000000000001E-2</v>
      </c>
      <c r="BJ155" s="543">
        <f t="shared" si="190"/>
        <v>1.3009715198296509E-2</v>
      </c>
      <c r="BK155" s="543">
        <f t="shared" si="191"/>
        <v>2.6436147836538453E-2</v>
      </c>
      <c r="BL155">
        <f t="shared" si="192"/>
        <v>2.6099999999999999E-3</v>
      </c>
      <c r="BM155" s="470">
        <f t="shared" si="193"/>
        <v>292.31855453802916</v>
      </c>
      <c r="BN155" s="178">
        <f t="shared" si="194"/>
        <v>0.14400000000000002</v>
      </c>
      <c r="BO155" s="178">
        <f t="shared" si="195"/>
        <v>9.0000000000000011E-2</v>
      </c>
      <c r="BP155" s="543"/>
      <c r="BR155" s="470">
        <f t="shared" si="196"/>
        <v>234.00000000000003</v>
      </c>
      <c r="BS155" s="543">
        <f t="shared" si="197"/>
        <v>6.2368251455706972E-2</v>
      </c>
      <c r="BT155" s="543">
        <f t="shared" si="198"/>
        <v>4.5821572498070423E-2</v>
      </c>
      <c r="BU155" s="543">
        <f t="shared" si="199"/>
        <v>1.3424288817794066E-2</v>
      </c>
      <c r="BV155" s="543">
        <f t="shared" si="200"/>
        <v>0</v>
      </c>
      <c r="BW155" s="648">
        <f t="shared" si="231"/>
        <v>7.9172932330827103E-2</v>
      </c>
      <c r="BX155" s="470">
        <f t="shared" si="202"/>
        <v>200.78704510239857</v>
      </c>
      <c r="BY155" s="178">
        <f t="shared" si="203"/>
        <v>0.72710559964042787</v>
      </c>
      <c r="BZ155" s="6">
        <f t="shared" si="204"/>
        <v>7.0200000000000005</v>
      </c>
      <c r="CA155" s="178">
        <f t="shared" si="205"/>
        <v>0.90614487045662895</v>
      </c>
      <c r="CB155" s="6">
        <f t="shared" si="206"/>
        <v>90.614487045662898</v>
      </c>
      <c r="CC155">
        <f t="shared" si="207"/>
        <v>45</v>
      </c>
      <c r="CE155" s="577">
        <f t="shared" si="232"/>
        <v>-50</v>
      </c>
      <c r="CF155">
        <f t="shared" si="233"/>
        <v>-50</v>
      </c>
    </row>
    <row r="156" spans="5:84" s="77" customFormat="1" x14ac:dyDescent="0.2">
      <c r="E156" s="194">
        <v>46</v>
      </c>
      <c r="F156" s="334">
        <f t="shared" si="234"/>
        <v>0.36800000000000005</v>
      </c>
      <c r="G156" s="222">
        <f t="shared" si="215"/>
        <v>0.23</v>
      </c>
      <c r="H156" s="334">
        <f t="shared" si="216"/>
        <v>4.4160000000000004</v>
      </c>
      <c r="I156" s="222">
        <f t="shared" si="217"/>
        <v>2.7600000000000002</v>
      </c>
      <c r="J156" s="556">
        <f t="shared" si="155"/>
        <v>9</v>
      </c>
      <c r="K156" s="550">
        <f t="shared" si="156"/>
        <v>12.25</v>
      </c>
      <c r="L156" s="550">
        <f t="shared" si="157"/>
        <v>21.25</v>
      </c>
      <c r="M156" s="550"/>
      <c r="N156" s="334">
        <f t="shared" si="158"/>
        <v>0.57647058823529407</v>
      </c>
      <c r="O156" s="177">
        <f t="shared" si="218"/>
        <v>6.2179004524886858</v>
      </c>
      <c r="P156" s="177">
        <f t="shared" si="219"/>
        <v>6.3150551470588203</v>
      </c>
      <c r="Q156" s="334">
        <f t="shared" si="161"/>
        <v>0.51815837104072382</v>
      </c>
      <c r="R156" s="222">
        <f t="shared" si="220"/>
        <v>0.51815837104072382</v>
      </c>
      <c r="S156" s="334">
        <f t="shared" si="221"/>
        <v>12</v>
      </c>
      <c r="T156" s="222">
        <f t="shared" si="222"/>
        <v>2.9118510562119591</v>
      </c>
      <c r="U156" s="334">
        <f t="shared" si="165"/>
        <v>2.2647730437204125</v>
      </c>
      <c r="V156" s="334">
        <f t="shared" si="166"/>
        <v>1.6639148892639768</v>
      </c>
      <c r="W156" s="552">
        <f t="shared" si="167"/>
        <v>350</v>
      </c>
      <c r="X156" s="550">
        <f t="shared" si="168"/>
        <v>254.53790605362735</v>
      </c>
      <c r="Z156" s="334">
        <f t="shared" si="169"/>
        <v>2.1176470588235294</v>
      </c>
      <c r="AA156" s="553">
        <f t="shared" si="170"/>
        <v>1.2100840336134453</v>
      </c>
      <c r="AB156" s="178">
        <f t="shared" si="223"/>
        <v>0.27596486558424271</v>
      </c>
      <c r="AC156" s="553"/>
      <c r="AD156" s="553">
        <f t="shared" si="172"/>
        <v>0.46857142857142853</v>
      </c>
      <c r="AE156" s="560">
        <f t="shared" si="224"/>
        <v>1915.5264723378946</v>
      </c>
      <c r="AF156" s="543">
        <f t="shared" si="225"/>
        <v>6.723999999999998E-2</v>
      </c>
      <c r="AH156" s="178">
        <f t="shared" si="226"/>
        <v>2.4203221239482708</v>
      </c>
      <c r="AI156" s="553">
        <f t="shared" si="227"/>
        <v>2.9118510562119591</v>
      </c>
      <c r="AJ156" s="553">
        <f t="shared" si="228"/>
        <v>2.7495193008977479</v>
      </c>
      <c r="AL156" s="579">
        <f t="shared" si="229"/>
        <v>368.00000000000006</v>
      </c>
      <c r="AM156" s="580">
        <f t="shared" si="230"/>
        <v>254.53790605362735</v>
      </c>
      <c r="AO156" s="77">
        <f t="shared" si="180"/>
        <v>368.00000000000006</v>
      </c>
      <c r="AP156" s="77">
        <f t="shared" si="181"/>
        <v>254.53790605362735</v>
      </c>
      <c r="AR156" s="549">
        <f t="shared" si="214"/>
        <v>3.9286879329843893</v>
      </c>
      <c r="AS156" s="6">
        <f t="shared" si="211"/>
        <v>2.2647730437204125</v>
      </c>
      <c r="AT156" s="6">
        <f t="shared" si="212"/>
        <v>1.6639148892639768</v>
      </c>
      <c r="AU156" s="178">
        <f t="shared" si="213"/>
        <v>0.57647058823529407</v>
      </c>
      <c r="AW156" s="6">
        <f>L*Iout^2/(2*Vripple1_spec*Vout*Npri_sec1^2)*1000000000*((1+N156)/(1-N156))^2</f>
        <v>21.552126200274348</v>
      </c>
      <c r="AX156" s="6">
        <f>L*F156^2/(2*Cout*Vout*Nps^2)*1000000000*((1+N156)/(1-N156))^2+F156*RCoutEsr</f>
        <v>12.747650818667367</v>
      </c>
      <c r="AY156" s="6">
        <f>L*Iout2^2/(2*Vout_ripple2*Vout2*Npri_sec2^2)*1000000000*((1+N156)/(1-N156))^2</f>
        <v>8.4187992969821668</v>
      </c>
      <c r="AZ156" s="6">
        <f>L*G156^2/(2*Cout2*Vout2*Npri_sec2^2)*1000000000*((1+N156)/(1-N156))^2+G156*CoutEsr2</f>
        <v>5.23830110104194</v>
      </c>
      <c r="BA156" s="6">
        <f>(H156+I156)/Efficiency/J156*AT156/Vinripple1</f>
        <v>2.0689197739412255</v>
      </c>
      <c r="BB156" s="6"/>
      <c r="BC156" s="6"/>
      <c r="BD156" s="178">
        <f t="shared" si="185"/>
        <v>1.2764303043953145</v>
      </c>
      <c r="BE156" s="178">
        <f t="shared" si="186"/>
        <v>1.0940831180531267</v>
      </c>
      <c r="BF156" s="178">
        <f t="shared" si="187"/>
        <v>0.68380194878320411</v>
      </c>
      <c r="BG156" s="178"/>
      <c r="BH156" s="543">
        <f t="shared" si="188"/>
        <v>0.17922017541765867</v>
      </c>
      <c r="BI156" s="543">
        <f t="shared" si="189"/>
        <v>7.8749999999999987E-2</v>
      </c>
      <c r="BJ156" s="543">
        <f t="shared" si="190"/>
        <v>1.2726895302681366E-2</v>
      </c>
      <c r="BK156" s="543">
        <f t="shared" si="191"/>
        <v>2.5861448970526748E-2</v>
      </c>
      <c r="BL156">
        <f t="shared" si="192"/>
        <v>2.6099999999999999E-3</v>
      </c>
      <c r="BM156" s="470">
        <f t="shared" si="193"/>
        <v>299.16851969086673</v>
      </c>
      <c r="BN156" s="178">
        <f t="shared" si="194"/>
        <v>0.14720000000000003</v>
      </c>
      <c r="BO156" s="178">
        <f t="shared" si="195"/>
        <v>9.2000000000000012E-2</v>
      </c>
      <c r="BP156" s="543"/>
      <c r="BQ156"/>
      <c r="BR156" s="470">
        <f t="shared" si="196"/>
        <v>239.20000000000002</v>
      </c>
      <c r="BS156" s="543">
        <f t="shared" si="197"/>
        <v>6.5170972879148609E-2</v>
      </c>
      <c r="BT156" s="543">
        <f t="shared" si="198"/>
        <v>4.788071476835408E-2</v>
      </c>
      <c r="BU156" s="543">
        <f t="shared" si="199"/>
        <v>1.402755315479123E-2</v>
      </c>
      <c r="BV156" s="543">
        <f t="shared" si="200"/>
        <v>0</v>
      </c>
      <c r="BW156" s="648">
        <f t="shared" si="231"/>
        <v>8.0932330827067689E-2</v>
      </c>
      <c r="BX156" s="470">
        <f t="shared" si="202"/>
        <v>208.01157162936158</v>
      </c>
      <c r="BY156" s="178">
        <f t="shared" si="203"/>
        <v>0.74638009132022831</v>
      </c>
      <c r="BZ156" s="6">
        <f t="shared" si="204"/>
        <v>7.1760000000000002</v>
      </c>
      <c r="CA156" s="178">
        <f t="shared" si="205"/>
        <v>0.90578840162718732</v>
      </c>
      <c r="CB156" s="6">
        <f t="shared" si="206"/>
        <v>90.578840162718734</v>
      </c>
      <c r="CC156">
        <f t="shared" si="207"/>
        <v>46</v>
      </c>
      <c r="CE156" s="577">
        <f t="shared" si="232"/>
        <v>-50</v>
      </c>
      <c r="CF156">
        <f t="shared" si="233"/>
        <v>-50</v>
      </c>
    </row>
    <row r="157" spans="5:84" x14ac:dyDescent="0.2">
      <c r="E157" s="175">
        <v>47</v>
      </c>
      <c r="F157" s="222">
        <f t="shared" si="234"/>
        <v>0.376</v>
      </c>
      <c r="G157" s="222">
        <f t="shared" si="215"/>
        <v>0.23499999999999999</v>
      </c>
      <c r="H157" s="222">
        <f t="shared" si="216"/>
        <v>4.5120000000000005</v>
      </c>
      <c r="I157" s="222">
        <f t="shared" si="217"/>
        <v>2.82</v>
      </c>
      <c r="J157" s="556">
        <f t="shared" si="155"/>
        <v>9</v>
      </c>
      <c r="K157" s="452">
        <f t="shared" si="156"/>
        <v>12.25</v>
      </c>
      <c r="L157" s="452">
        <f t="shared" si="157"/>
        <v>21.25</v>
      </c>
      <c r="M157" s="452"/>
      <c r="N157" s="222">
        <f t="shared" si="158"/>
        <v>0.57647058823529407</v>
      </c>
      <c r="O157" s="177">
        <f t="shared" si="218"/>
        <v>6.2179004524886858</v>
      </c>
      <c r="P157" s="177">
        <f t="shared" si="219"/>
        <v>6.3150551470588203</v>
      </c>
      <c r="Q157" s="222">
        <f t="shared" si="161"/>
        <v>0.51815837104072382</v>
      </c>
      <c r="R157" s="222">
        <f t="shared" si="220"/>
        <v>0.51815837104072382</v>
      </c>
      <c r="S157" s="222">
        <f t="shared" si="221"/>
        <v>12</v>
      </c>
      <c r="T157" s="222">
        <f t="shared" si="222"/>
        <v>2.9751521661296105</v>
      </c>
      <c r="U157" s="222">
        <f t="shared" si="165"/>
        <v>2.3140072403230301</v>
      </c>
      <c r="V157" s="222">
        <f t="shared" si="166"/>
        <v>1.7000869520740629</v>
      </c>
      <c r="W157" s="202">
        <f t="shared" si="167"/>
        <v>350</v>
      </c>
      <c r="X157" s="452">
        <f t="shared" si="168"/>
        <v>249.1222059248268</v>
      </c>
      <c r="Z157" s="222">
        <f t="shared" si="169"/>
        <v>2.1176470588235294</v>
      </c>
      <c r="AA157" s="178">
        <f t="shared" si="170"/>
        <v>1.2100840336134453</v>
      </c>
      <c r="AB157" s="178">
        <f t="shared" si="223"/>
        <v>0.27596486558424271</v>
      </c>
      <c r="AC157" s="178"/>
      <c r="AD157" s="178">
        <f t="shared" si="172"/>
        <v>0.46857142857142853</v>
      </c>
      <c r="AE157" s="560">
        <f t="shared" si="224"/>
        <v>1957.1683521713269</v>
      </c>
      <c r="AF157" s="543">
        <f t="shared" si="225"/>
        <v>6.723999999999998E-2</v>
      </c>
      <c r="AH157" s="178">
        <f t="shared" si="226"/>
        <v>2.446488528983731</v>
      </c>
      <c r="AI157" s="178">
        <f t="shared" si="227"/>
        <v>2.9751521661296105</v>
      </c>
      <c r="AJ157" s="178">
        <f t="shared" si="228"/>
        <v>2.7964090119478597</v>
      </c>
      <c r="AL157" s="560">
        <f t="shared" si="229"/>
        <v>376</v>
      </c>
      <c r="AM157" s="470">
        <f t="shared" si="230"/>
        <v>249.1222059248268</v>
      </c>
      <c r="AO157">
        <f t="shared" si="180"/>
        <v>376</v>
      </c>
      <c r="AP157">
        <f t="shared" si="181"/>
        <v>249.1222059248268</v>
      </c>
      <c r="AR157" s="6">
        <f t="shared" si="214"/>
        <v>4.014094192397093</v>
      </c>
      <c r="AS157" s="6">
        <f t="shared" si="211"/>
        <v>2.3140072403230301</v>
      </c>
      <c r="AT157" s="6">
        <f t="shared" si="212"/>
        <v>1.7000869520740629</v>
      </c>
      <c r="AU157" s="178">
        <f t="shared" si="213"/>
        <v>0.57647058823529407</v>
      </c>
      <c r="AW157" s="6">
        <f>L*Iout^2/(2*Vripple1_spec*Vout*Npri_sec1^2)*1000000000*((1+N157)/(1-N157))^2</f>
        <v>21.552126200274348</v>
      </c>
      <c r="AX157" s="6">
        <f>L*F157^2/(2*Cout*Vout*Nps^2)*1000000000*((1+N157)/(1-N157))^2+F157*RCoutEsr</f>
        <v>13.283399176954733</v>
      </c>
      <c r="AY157" s="6">
        <f>L*Iout2^2/(2*Vout_ripple2*Vout2*Npri_sec2^2)*1000000000*((1+N157)/(1-N157))^2</f>
        <v>8.4187992969821668</v>
      </c>
      <c r="AZ157" s="6">
        <f>L*G157^2/(2*Cout2*Vout2*Npri_sec2^2)*1000000000*((1+N157)/(1-N157))^2+G157*CoutEsr2</f>
        <v>5.4532028034979412</v>
      </c>
      <c r="BA157" s="6">
        <f>(H157+I157)/Efficiency/J157*AT157/Vinripple1</f>
        <v>2.1598505579566005</v>
      </c>
      <c r="BB157" s="6"/>
      <c r="BC157" s="6"/>
      <c r="BD157" s="178">
        <f t="shared" si="185"/>
        <v>1.3041787892734735</v>
      </c>
      <c r="BE157" s="178">
        <f t="shared" si="186"/>
        <v>1.1178675336629775</v>
      </c>
      <c r="BF157" s="178">
        <f t="shared" si="187"/>
        <v>0.69866720853936082</v>
      </c>
      <c r="BG157" s="178"/>
      <c r="BH157" s="543">
        <f t="shared" si="188"/>
        <v>0.18709705458299056</v>
      </c>
      <c r="BI157" s="543">
        <f t="shared" si="189"/>
        <v>7.8750000000000001E-2</v>
      </c>
      <c r="BJ157" s="543">
        <f t="shared" si="190"/>
        <v>1.245611029624134E-2</v>
      </c>
      <c r="BK157" s="543">
        <f t="shared" si="191"/>
        <v>2.5311205375409158E-2</v>
      </c>
      <c r="BL157">
        <f t="shared" si="192"/>
        <v>2.6099999999999999E-3</v>
      </c>
      <c r="BM157" s="470">
        <f t="shared" si="193"/>
        <v>306.22437025464103</v>
      </c>
      <c r="BN157" s="178">
        <f t="shared" si="194"/>
        <v>0.15040000000000001</v>
      </c>
      <c r="BO157" s="178">
        <f t="shared" si="195"/>
        <v>9.4E-2</v>
      </c>
      <c r="BP157" s="543"/>
      <c r="BR157" s="470">
        <f t="shared" si="196"/>
        <v>244.4</v>
      </c>
      <c r="BS157" s="543">
        <f t="shared" si="197"/>
        <v>6.8035292575632927E-2</v>
      </c>
      <c r="BT157" s="543">
        <f t="shared" si="198"/>
        <v>4.9985112912709927E-2</v>
      </c>
      <c r="BU157" s="543">
        <f t="shared" si="199"/>
        <v>1.4644076048645479E-2</v>
      </c>
      <c r="BV157" s="543">
        <f t="shared" si="200"/>
        <v>0</v>
      </c>
      <c r="BW157" s="648">
        <f t="shared" si="231"/>
        <v>8.2691729323308302E-2</v>
      </c>
      <c r="BX157" s="470">
        <f t="shared" si="202"/>
        <v>215.35621086029667</v>
      </c>
      <c r="BY157" s="178">
        <f t="shared" si="203"/>
        <v>0.76598058111493761</v>
      </c>
      <c r="BZ157" s="6">
        <f t="shared" si="204"/>
        <v>7.3320000000000007</v>
      </c>
      <c r="CA157" s="178">
        <f t="shared" si="205"/>
        <v>0.90541091406155516</v>
      </c>
      <c r="CB157" s="6">
        <f t="shared" si="206"/>
        <v>90.541091406155516</v>
      </c>
      <c r="CC157">
        <f t="shared" si="207"/>
        <v>47</v>
      </c>
      <c r="CE157" s="577">
        <f t="shared" si="232"/>
        <v>-50</v>
      </c>
      <c r="CF157">
        <f t="shared" si="233"/>
        <v>-50</v>
      </c>
    </row>
    <row r="158" spans="5:84" x14ac:dyDescent="0.2">
      <c r="E158" s="175">
        <v>48</v>
      </c>
      <c r="F158" s="222">
        <f t="shared" si="234"/>
        <v>0.38400000000000001</v>
      </c>
      <c r="G158" s="222">
        <f t="shared" si="215"/>
        <v>0.24</v>
      </c>
      <c r="H158" s="222">
        <f t="shared" si="216"/>
        <v>4.6080000000000005</v>
      </c>
      <c r="I158" s="222">
        <f t="shared" si="217"/>
        <v>2.88</v>
      </c>
      <c r="J158" s="556">
        <f t="shared" si="155"/>
        <v>9</v>
      </c>
      <c r="K158" s="452">
        <f t="shared" si="156"/>
        <v>12.25</v>
      </c>
      <c r="L158" s="452">
        <f t="shared" si="157"/>
        <v>21.25</v>
      </c>
      <c r="M158" s="452"/>
      <c r="N158" s="222">
        <f t="shared" si="158"/>
        <v>0.57647058823529407</v>
      </c>
      <c r="O158" s="177">
        <f t="shared" si="218"/>
        <v>6.2179004524886858</v>
      </c>
      <c r="P158" s="177">
        <f t="shared" si="219"/>
        <v>6.3150551470588203</v>
      </c>
      <c r="Q158" s="222">
        <f t="shared" si="161"/>
        <v>0.51815837104072382</v>
      </c>
      <c r="R158" s="222">
        <f t="shared" si="220"/>
        <v>0.51815837104072382</v>
      </c>
      <c r="S158" s="222">
        <f t="shared" si="221"/>
        <v>12</v>
      </c>
      <c r="T158" s="222">
        <f t="shared" si="222"/>
        <v>3.038453276047262</v>
      </c>
      <c r="U158" s="222">
        <f t="shared" si="165"/>
        <v>2.363241436925648</v>
      </c>
      <c r="V158" s="222">
        <f t="shared" si="166"/>
        <v>1.7362590148841497</v>
      </c>
      <c r="W158" s="202">
        <f t="shared" si="167"/>
        <v>350</v>
      </c>
      <c r="X158" s="452">
        <f t="shared" si="168"/>
        <v>243.93215996805955</v>
      </c>
      <c r="Z158" s="222">
        <f t="shared" si="169"/>
        <v>2.1176470588235294</v>
      </c>
      <c r="AA158" s="178">
        <f t="shared" si="170"/>
        <v>1.2100840336134453</v>
      </c>
      <c r="AB158" s="178">
        <f t="shared" si="223"/>
        <v>0.27596486558424271</v>
      </c>
      <c r="AC158" s="178"/>
      <c r="AD158" s="178">
        <f t="shared" si="172"/>
        <v>0.46857142857142853</v>
      </c>
      <c r="AE158" s="560">
        <f t="shared" si="224"/>
        <v>1998.8102320047597</v>
      </c>
      <c r="AF158" s="543">
        <f t="shared" si="225"/>
        <v>6.723999999999998E-2</v>
      </c>
      <c r="AH158" s="178">
        <f t="shared" si="226"/>
        <v>2.472378017461021</v>
      </c>
      <c r="AI158" s="178">
        <f t="shared" si="227"/>
        <v>3.038453276047262</v>
      </c>
      <c r="AJ158" s="178">
        <f t="shared" si="228"/>
        <v>2.843298722997972</v>
      </c>
      <c r="AL158" s="560">
        <f t="shared" si="229"/>
        <v>384</v>
      </c>
      <c r="AM158" s="470">
        <f t="shared" si="230"/>
        <v>243.93215996805955</v>
      </c>
      <c r="AO158">
        <f t="shared" si="180"/>
        <v>384</v>
      </c>
      <c r="AP158">
        <f t="shared" si="181"/>
        <v>243.93215996805955</v>
      </c>
      <c r="AR158" s="6">
        <f t="shared" si="214"/>
        <v>4.0995004518097975</v>
      </c>
      <c r="AS158" s="6">
        <f t="shared" si="211"/>
        <v>2.363241436925648</v>
      </c>
      <c r="AT158" s="6">
        <f t="shared" si="212"/>
        <v>1.7362590148841495</v>
      </c>
      <c r="AU158" s="178">
        <f t="shared" si="213"/>
        <v>0.57647058823529418</v>
      </c>
      <c r="AW158" s="6">
        <f>L*Iout^2/(2*Vripple1_spec*Vout*Npri_sec1^2)*1000000000*((1+N158)/(1-N158))^2</f>
        <v>21.552126200274348</v>
      </c>
      <c r="AX158" s="6">
        <f>L*F158^2/(2*Cout*Vout*Nps^2)*1000000000*((1+N158)/(1-N158))^2+F158*RCoutEsr</f>
        <v>13.830152876280536</v>
      </c>
      <c r="AY158" s="6">
        <f>L*Iout2^2/(2*Vout_ripple2*Vout2*Npri_sec2^2)*1000000000*((1+N158)/(1-N158))^2</f>
        <v>8.4187992969821668</v>
      </c>
      <c r="AZ158" s="6">
        <f>L*G158^2/(2*Cout2*Vout2*Npri_sec2^2)*1000000000*((1+N158)/(1-N158))^2+G158*CoutEsr2</f>
        <v>5.6724034672970829</v>
      </c>
      <c r="BA158" s="6">
        <f>(H158+I158)/Efficiency/J158*AT158/Vinripple1</f>
        <v>2.2527368427034893</v>
      </c>
      <c r="BB158" s="6"/>
      <c r="BC158" s="6"/>
      <c r="BD158" s="178">
        <f t="shared" si="185"/>
        <v>1.3319272741516328</v>
      </c>
      <c r="BE158" s="178">
        <f t="shared" si="186"/>
        <v>1.1416519492728279</v>
      </c>
      <c r="BF158" s="178">
        <f t="shared" si="187"/>
        <v>0.71353246829551731</v>
      </c>
      <c r="BG158" s="178"/>
      <c r="BH158" s="543">
        <f t="shared" si="188"/>
        <v>0.19514332899918987</v>
      </c>
      <c r="BI158" s="543">
        <f t="shared" si="189"/>
        <v>7.8750000000000001E-2</v>
      </c>
      <c r="BJ158" s="543">
        <f t="shared" si="190"/>
        <v>1.2196607998402977E-2</v>
      </c>
      <c r="BK158" s="543">
        <f t="shared" si="191"/>
        <v>2.4783888596754802E-2</v>
      </c>
      <c r="BL158">
        <f t="shared" si="192"/>
        <v>2.6099999999999999E-3</v>
      </c>
      <c r="BM158" s="470">
        <f t="shared" si="193"/>
        <v>313.48382559434765</v>
      </c>
      <c r="BN158" s="178">
        <f t="shared" si="194"/>
        <v>0.15360000000000001</v>
      </c>
      <c r="BO158" s="178">
        <f t="shared" si="195"/>
        <v>9.6000000000000002E-2</v>
      </c>
      <c r="BP158" s="543"/>
      <c r="BR158" s="470">
        <f t="shared" si="196"/>
        <v>249.60000000000002</v>
      </c>
      <c r="BS158" s="543">
        <f t="shared" si="197"/>
        <v>7.0961210545159956E-2</v>
      </c>
      <c r="BT158" s="543">
        <f t="shared" si="198"/>
        <v>5.2134766931137902E-2</v>
      </c>
      <c r="BU158" s="543">
        <f t="shared" si="199"/>
        <v>1.5273857499356801E-2</v>
      </c>
      <c r="BV158" s="543">
        <f t="shared" si="200"/>
        <v>0</v>
      </c>
      <c r="BW158" s="648">
        <f t="shared" si="231"/>
        <v>8.4451127819548916E-2</v>
      </c>
      <c r="BX158" s="470">
        <f t="shared" si="202"/>
        <v>222.82096279520357</v>
      </c>
      <c r="BY158" s="178">
        <f t="shared" si="203"/>
        <v>0.78590478838955125</v>
      </c>
      <c r="BZ158" s="6">
        <f t="shared" si="204"/>
        <v>7.4880000000000004</v>
      </c>
      <c r="CA158" s="178">
        <f t="shared" si="205"/>
        <v>0.90501404010686948</v>
      </c>
      <c r="CB158" s="6">
        <f t="shared" si="206"/>
        <v>90.501404010686954</v>
      </c>
      <c r="CC158">
        <f t="shared" si="207"/>
        <v>48</v>
      </c>
      <c r="CE158" s="577">
        <f t="shared" si="232"/>
        <v>-50</v>
      </c>
      <c r="CF158">
        <f t="shared" si="233"/>
        <v>-50</v>
      </c>
    </row>
    <row r="159" spans="5:84" x14ac:dyDescent="0.2">
      <c r="E159" s="175">
        <v>49</v>
      </c>
      <c r="F159" s="222">
        <f t="shared" si="234"/>
        <v>0.39200000000000002</v>
      </c>
      <c r="G159" s="222">
        <f t="shared" si="215"/>
        <v>0.245</v>
      </c>
      <c r="H159" s="222">
        <f t="shared" si="216"/>
        <v>4.7040000000000006</v>
      </c>
      <c r="I159" s="222">
        <f t="shared" si="217"/>
        <v>2.94</v>
      </c>
      <c r="J159" s="556">
        <f t="shared" si="155"/>
        <v>9</v>
      </c>
      <c r="K159" s="452">
        <f t="shared" si="156"/>
        <v>12.25</v>
      </c>
      <c r="L159" s="452">
        <f t="shared" si="157"/>
        <v>21.25</v>
      </c>
      <c r="M159" s="452"/>
      <c r="N159" s="222">
        <f t="shared" si="158"/>
        <v>0.57647058823529407</v>
      </c>
      <c r="O159" s="177">
        <f t="shared" si="218"/>
        <v>6.2179004524886858</v>
      </c>
      <c r="P159" s="177">
        <f t="shared" si="219"/>
        <v>6.3150551470588203</v>
      </c>
      <c r="Q159" s="222">
        <f t="shared" si="161"/>
        <v>0.51815837104072382</v>
      </c>
      <c r="R159" s="222">
        <f t="shared" si="220"/>
        <v>0.51815837104072382</v>
      </c>
      <c r="S159" s="222">
        <f t="shared" si="221"/>
        <v>12</v>
      </c>
      <c r="T159" s="222">
        <f t="shared" si="222"/>
        <v>3.101754385964913</v>
      </c>
      <c r="U159" s="222">
        <f t="shared" si="165"/>
        <v>2.4124756335282656</v>
      </c>
      <c r="V159" s="222">
        <f t="shared" si="166"/>
        <v>1.772431077694236</v>
      </c>
      <c r="W159" s="202">
        <f t="shared" si="167"/>
        <v>350</v>
      </c>
      <c r="X159" s="452">
        <f t="shared" si="168"/>
        <v>238.95395262177266</v>
      </c>
      <c r="Z159" s="222">
        <f t="shared" si="169"/>
        <v>2.1176470588235294</v>
      </c>
      <c r="AA159" s="178">
        <f t="shared" si="170"/>
        <v>1.2100840336134453</v>
      </c>
      <c r="AB159" s="178">
        <f t="shared" si="223"/>
        <v>0.27596486558424271</v>
      </c>
      <c r="AC159" s="178"/>
      <c r="AD159" s="178">
        <f t="shared" si="172"/>
        <v>0.46857142857142853</v>
      </c>
      <c r="AE159" s="560">
        <f t="shared" si="224"/>
        <v>2040.452111838192</v>
      </c>
      <c r="AF159" s="543">
        <f t="shared" si="225"/>
        <v>6.723999999999998E-2</v>
      </c>
      <c r="AH159" s="178">
        <f t="shared" si="226"/>
        <v>2.4979991993593593</v>
      </c>
      <c r="AI159" s="178">
        <f t="shared" si="227"/>
        <v>3.101754385964913</v>
      </c>
      <c r="AJ159" s="178">
        <f t="shared" si="228"/>
        <v>2.8901884340480839</v>
      </c>
      <c r="AL159" s="560">
        <f t="shared" si="229"/>
        <v>392</v>
      </c>
      <c r="AM159" s="470">
        <f t="shared" si="230"/>
        <v>238.95395262177266</v>
      </c>
      <c r="AO159">
        <f t="shared" si="180"/>
        <v>392</v>
      </c>
      <c r="AP159">
        <f t="shared" si="181"/>
        <v>238.95395262177266</v>
      </c>
      <c r="AR159" s="6">
        <f t="shared" si="214"/>
        <v>4.1849067112225011</v>
      </c>
      <c r="AS159" s="6">
        <f t="shared" si="211"/>
        <v>2.4124756335282656</v>
      </c>
      <c r="AT159" s="6">
        <f t="shared" si="212"/>
        <v>1.7724310776942356</v>
      </c>
      <c r="AU159" s="178">
        <f t="shared" si="213"/>
        <v>0.57647058823529418</v>
      </c>
      <c r="AW159" s="6">
        <f>L*Iout^2/(2*Vripple1_spec*Vout*Npri_sec1^2)*1000000000*((1+N159)/(1-N159))^2</f>
        <v>21.552126200274348</v>
      </c>
      <c r="AX159" s="6">
        <f>L*F159^2/(2*Cout*Vout*Nps^2)*1000000000*((1+N159)/(1-N159))^2+F159*RCoutEsr</f>
        <v>14.387911916644779</v>
      </c>
      <c r="AY159" s="6">
        <f>L*Iout2^2/(2*Vout_ripple2*Vout2*Npri_sec2^2)*1000000000*((1+N159)/(1-N159))^2</f>
        <v>8.4187992969821668</v>
      </c>
      <c r="AZ159" s="6">
        <f>L*G159^2/(2*Cout2*Vout2*Npri_sec2^2)*1000000000*((1+N159)/(1-N159))^2+G159*CoutEsr2</f>
        <v>5.8959030924393652</v>
      </c>
      <c r="BA159" s="6">
        <f>(H159+I159)/Efficiency/J159*AT159/Vinripple1</f>
        <v>2.3475786281818909</v>
      </c>
      <c r="BB159" s="6"/>
      <c r="BC159" s="6"/>
      <c r="BD159" s="178">
        <f t="shared" si="185"/>
        <v>1.3596757590297917</v>
      </c>
      <c r="BE159" s="178">
        <f t="shared" si="186"/>
        <v>1.1654363648826784</v>
      </c>
      <c r="BF159" s="178">
        <f t="shared" si="187"/>
        <v>0.72839772805167391</v>
      </c>
      <c r="BG159" s="178"/>
      <c r="BH159" s="543">
        <f t="shared" si="188"/>
        <v>0.2033589986662564</v>
      </c>
      <c r="BI159" s="543">
        <f t="shared" si="189"/>
        <v>7.8750000000000001E-2</v>
      </c>
      <c r="BJ159" s="543">
        <f t="shared" si="190"/>
        <v>1.1947697631088633E-2</v>
      </c>
      <c r="BK159" s="543">
        <f t="shared" si="191"/>
        <v>2.4278094951923075E-2</v>
      </c>
      <c r="BL159">
        <f t="shared" si="192"/>
        <v>2.6099999999999999E-3</v>
      </c>
      <c r="BM159" s="470">
        <f t="shared" si="193"/>
        <v>320.94479124926806</v>
      </c>
      <c r="BN159" s="178">
        <f t="shared" si="194"/>
        <v>0.15680000000000002</v>
      </c>
      <c r="BO159" s="178">
        <f t="shared" si="195"/>
        <v>9.8000000000000004E-2</v>
      </c>
      <c r="BP159" s="543"/>
      <c r="BR159" s="470">
        <f t="shared" si="196"/>
        <v>254.80000000000004</v>
      </c>
      <c r="BS159" s="543">
        <f t="shared" si="197"/>
        <v>7.3948726787729596E-2</v>
      </c>
      <c r="BT159" s="543">
        <f t="shared" si="198"/>
        <v>5.4329676823638061E-2</v>
      </c>
      <c r="BU159" s="543">
        <f t="shared" si="199"/>
        <v>1.5916897506925209E-2</v>
      </c>
      <c r="BV159" s="543">
        <f t="shared" si="200"/>
        <v>0</v>
      </c>
      <c r="BW159" s="648">
        <f t="shared" si="231"/>
        <v>8.6210526315789515E-2</v>
      </c>
      <c r="BX159" s="470">
        <f t="shared" si="202"/>
        <v>230.4058274340824</v>
      </c>
      <c r="BY159" s="178">
        <f t="shared" si="203"/>
        <v>0.80615061868335047</v>
      </c>
      <c r="BZ159" s="6">
        <f t="shared" si="204"/>
        <v>7.6440000000000001</v>
      </c>
      <c r="CA159" s="178">
        <f t="shared" si="205"/>
        <v>0.90459926040833583</v>
      </c>
      <c r="CB159" s="6">
        <f t="shared" si="206"/>
        <v>90.459926040833579</v>
      </c>
      <c r="CC159">
        <f t="shared" si="207"/>
        <v>49</v>
      </c>
      <c r="CE159" s="577">
        <f t="shared" si="232"/>
        <v>-50</v>
      </c>
      <c r="CF159">
        <f t="shared" si="233"/>
        <v>-50</v>
      </c>
    </row>
    <row r="160" spans="5:84" x14ac:dyDescent="0.2">
      <c r="E160" s="175">
        <v>50</v>
      </c>
      <c r="F160" s="222">
        <f t="shared" si="234"/>
        <v>0.4</v>
      </c>
      <c r="G160" s="222">
        <f t="shared" si="215"/>
        <v>0.25</v>
      </c>
      <c r="H160" s="222">
        <f t="shared" si="216"/>
        <v>4.8000000000000007</v>
      </c>
      <c r="I160" s="222">
        <f t="shared" si="217"/>
        <v>3</v>
      </c>
      <c r="J160" s="556">
        <f t="shared" si="155"/>
        <v>9</v>
      </c>
      <c r="K160" s="452">
        <f t="shared" si="156"/>
        <v>12.25</v>
      </c>
      <c r="L160" s="452">
        <f t="shared" si="157"/>
        <v>21.25</v>
      </c>
      <c r="M160" s="452"/>
      <c r="N160" s="222">
        <f t="shared" si="158"/>
        <v>0.57647058823529407</v>
      </c>
      <c r="O160" s="177">
        <f t="shared" si="218"/>
        <v>6.2179004524886858</v>
      </c>
      <c r="P160" s="177">
        <f t="shared" si="219"/>
        <v>6.3150551470588203</v>
      </c>
      <c r="Q160" s="222">
        <f t="shared" si="161"/>
        <v>0.51815837104072382</v>
      </c>
      <c r="R160" s="222">
        <f t="shared" si="220"/>
        <v>0.51815837104072382</v>
      </c>
      <c r="S160" s="222">
        <f t="shared" si="221"/>
        <v>12</v>
      </c>
      <c r="T160" s="222">
        <f t="shared" si="222"/>
        <v>3.1650554958825645</v>
      </c>
      <c r="U160" s="222">
        <f t="shared" si="165"/>
        <v>2.4617098301308835</v>
      </c>
      <c r="V160" s="222">
        <f t="shared" si="166"/>
        <v>1.8086031405043226</v>
      </c>
      <c r="W160" s="202">
        <f t="shared" si="167"/>
        <v>350</v>
      </c>
      <c r="X160" s="452">
        <f t="shared" si="168"/>
        <v>234.17487356933714</v>
      </c>
      <c r="Z160" s="222">
        <f t="shared" si="169"/>
        <v>2.1176470588235294</v>
      </c>
      <c r="AA160" s="178">
        <f t="shared" si="170"/>
        <v>1.2100840336134453</v>
      </c>
      <c r="AB160" s="178">
        <f t="shared" si="223"/>
        <v>0.27596486558424271</v>
      </c>
      <c r="AC160" s="178"/>
      <c r="AD160" s="178">
        <f t="shared" si="172"/>
        <v>0.46857142857142853</v>
      </c>
      <c r="AE160" s="560">
        <f t="shared" si="224"/>
        <v>2082.0939916716247</v>
      </c>
      <c r="AF160" s="543">
        <f t="shared" si="225"/>
        <v>6.723999999999998E-2</v>
      </c>
      <c r="AH160" s="178">
        <f t="shared" si="226"/>
        <v>2.5233602475222421</v>
      </c>
      <c r="AI160" s="178">
        <f t="shared" si="227"/>
        <v>3.1650554958825645</v>
      </c>
      <c r="AJ160" s="178">
        <f t="shared" si="228"/>
        <v>2.9370781450981962</v>
      </c>
      <c r="AL160" s="560">
        <f t="shared" si="229"/>
        <v>400</v>
      </c>
      <c r="AM160" s="470">
        <f t="shared" si="230"/>
        <v>234.17487356933714</v>
      </c>
      <c r="AO160">
        <f t="shared" si="180"/>
        <v>400</v>
      </c>
      <c r="AP160">
        <f t="shared" si="181"/>
        <v>234.17487356933714</v>
      </c>
      <c r="AR160" s="6">
        <f t="shared" si="214"/>
        <v>4.2703129706352065</v>
      </c>
      <c r="AS160" s="6">
        <f t="shared" si="211"/>
        <v>2.4617098301308835</v>
      </c>
      <c r="AT160" s="6">
        <f t="shared" si="212"/>
        <v>1.808603140504323</v>
      </c>
      <c r="AU160" s="178">
        <f t="shared" si="213"/>
        <v>0.57647058823529407</v>
      </c>
      <c r="AW160" s="6">
        <f>L*Iout^2/(2*Vripple1_spec*Vout*Npri_sec1^2)*1000000000*((1+N160)/(1-N160))^2</f>
        <v>21.552126200274348</v>
      </c>
      <c r="AX160" s="6">
        <f>L*F160^2/(2*Cout*Vout*Nps^2)*1000000000*((1+N160)/(1-N160))^2+F160*RCoutEsr</f>
        <v>14.956676298047459</v>
      </c>
      <c r="AY160" s="6">
        <f>L*Iout2^2/(2*Vout_ripple2*Vout2*Npri_sec2^2)*1000000000*((1+N160)/(1-N160))^2</f>
        <v>8.4187992969821668</v>
      </c>
      <c r="AZ160" s="6">
        <f>L*G160^2/(2*Cout2*Vout2*Npri_sec2^2)*1000000000*((1+N160)/(1-N160))^2+G160*CoutEsr2</f>
        <v>6.1237016789247871</v>
      </c>
      <c r="BA160" s="6">
        <f>(H160+I160)/Efficiency/J160*AT160/Vinripple1</f>
        <v>2.4443759143918076</v>
      </c>
      <c r="BB160" s="6"/>
      <c r="BC160" s="6"/>
      <c r="BD160" s="178">
        <f t="shared" si="185"/>
        <v>1.3874242439079507</v>
      </c>
      <c r="BE160" s="178">
        <f t="shared" si="186"/>
        <v>1.1892207804925292</v>
      </c>
      <c r="BF160" s="178">
        <f t="shared" si="187"/>
        <v>0.74326298780783062</v>
      </c>
      <c r="BG160" s="178"/>
      <c r="BH160" s="543">
        <f t="shared" si="188"/>
        <v>0.21174406358419037</v>
      </c>
      <c r="BI160" s="543">
        <f t="shared" si="189"/>
        <v>7.8749999999999987E-2</v>
      </c>
      <c r="BJ160" s="543">
        <f t="shared" si="190"/>
        <v>1.1708743678466856E-2</v>
      </c>
      <c r="BK160" s="543">
        <f t="shared" si="191"/>
        <v>2.3792533052884604E-2</v>
      </c>
      <c r="BL160">
        <f t="shared" si="192"/>
        <v>2.6099999999999999E-3</v>
      </c>
      <c r="BM160" s="470">
        <f t="shared" si="193"/>
        <v>328.60534031554187</v>
      </c>
      <c r="BN160" s="178">
        <f t="shared" si="194"/>
        <v>0.16000000000000003</v>
      </c>
      <c r="BO160" s="178">
        <f t="shared" si="195"/>
        <v>0.1</v>
      </c>
      <c r="BP160" s="543"/>
      <c r="BR160" s="470">
        <f t="shared" si="196"/>
        <v>260</v>
      </c>
      <c r="BS160" s="543">
        <f t="shared" si="197"/>
        <v>7.699784130334196E-2</v>
      </c>
      <c r="BT160" s="543">
        <f t="shared" si="198"/>
        <v>5.6569842590210417E-2</v>
      </c>
      <c r="BU160" s="543">
        <f t="shared" si="199"/>
        <v>1.6573196071350701E-2</v>
      </c>
      <c r="BV160" s="543">
        <f t="shared" si="200"/>
        <v>0</v>
      </c>
      <c r="BW160" s="648">
        <f t="shared" si="231"/>
        <v>8.7969924812030115E-2</v>
      </c>
      <c r="BX160" s="470">
        <f t="shared" si="202"/>
        <v>238.11080477693321</v>
      </c>
      <c r="BY160" s="178">
        <f t="shared" si="203"/>
        <v>0.82671614509247504</v>
      </c>
      <c r="BZ160" s="6">
        <f t="shared" si="204"/>
        <v>7.8000000000000007</v>
      </c>
      <c r="CA160" s="178">
        <f t="shared" si="205"/>
        <v>0.90416792077217323</v>
      </c>
      <c r="CB160" s="6">
        <f t="shared" si="206"/>
        <v>90.416792077217323</v>
      </c>
      <c r="CC160">
        <f t="shared" si="207"/>
        <v>50</v>
      </c>
      <c r="CE160" s="577">
        <f t="shared" si="232"/>
        <v>-50</v>
      </c>
      <c r="CF160">
        <f t="shared" si="233"/>
        <v>-50</v>
      </c>
    </row>
    <row r="161" spans="5:84" x14ac:dyDescent="0.2">
      <c r="E161" s="175">
        <v>51</v>
      </c>
      <c r="F161" s="222">
        <f t="shared" si="234"/>
        <v>0.40800000000000003</v>
      </c>
      <c r="G161" s="222">
        <f t="shared" si="215"/>
        <v>0.255</v>
      </c>
      <c r="H161" s="222">
        <f t="shared" si="216"/>
        <v>4.8960000000000008</v>
      </c>
      <c r="I161" s="222">
        <f t="shared" si="217"/>
        <v>3.06</v>
      </c>
      <c r="J161" s="556">
        <f t="shared" si="155"/>
        <v>9</v>
      </c>
      <c r="K161" s="452">
        <f t="shared" si="156"/>
        <v>12.25</v>
      </c>
      <c r="L161" s="452">
        <f t="shared" si="157"/>
        <v>21.25</v>
      </c>
      <c r="M161" s="452"/>
      <c r="N161" s="222">
        <f t="shared" si="158"/>
        <v>0.57647058823529407</v>
      </c>
      <c r="O161" s="177">
        <f t="shared" si="218"/>
        <v>6.2179004524886858</v>
      </c>
      <c r="P161" s="177">
        <f t="shared" si="219"/>
        <v>6.3150551470588203</v>
      </c>
      <c r="Q161" s="222">
        <f t="shared" si="161"/>
        <v>0.51815837104072382</v>
      </c>
      <c r="R161" s="222">
        <f t="shared" si="220"/>
        <v>0.51815837104072382</v>
      </c>
      <c r="S161" s="222">
        <f t="shared" si="221"/>
        <v>12</v>
      </c>
      <c r="T161" s="222">
        <f t="shared" si="222"/>
        <v>3.228356605800216</v>
      </c>
      <c r="U161" s="222">
        <f t="shared" si="165"/>
        <v>2.510944026733501</v>
      </c>
      <c r="V161" s="222">
        <f t="shared" si="166"/>
        <v>1.8447752033144089</v>
      </c>
      <c r="W161" s="202">
        <f t="shared" si="167"/>
        <v>350</v>
      </c>
      <c r="X161" s="452">
        <f t="shared" si="168"/>
        <v>229.58320938170309</v>
      </c>
      <c r="Z161" s="222">
        <f t="shared" si="169"/>
        <v>2.1176470588235294</v>
      </c>
      <c r="AA161" s="178">
        <f t="shared" si="170"/>
        <v>1.2100840336134453</v>
      </c>
      <c r="AB161" s="178">
        <f t="shared" si="223"/>
        <v>0.27596486558424271</v>
      </c>
      <c r="AC161" s="178"/>
      <c r="AD161" s="178">
        <f t="shared" si="172"/>
        <v>0.46857142857142853</v>
      </c>
      <c r="AE161" s="560">
        <f t="shared" si="224"/>
        <v>2123.7358715050568</v>
      </c>
      <c r="AF161" s="543">
        <f t="shared" si="225"/>
        <v>6.723999999999998E-2</v>
      </c>
      <c r="AH161" s="178">
        <f t="shared" si="226"/>
        <v>2.5484689281117441</v>
      </c>
      <c r="AI161" s="178">
        <f t="shared" si="227"/>
        <v>3.228356605800216</v>
      </c>
      <c r="AJ161" s="178">
        <f t="shared" si="228"/>
        <v>2.9839678561483081</v>
      </c>
      <c r="AL161" s="560">
        <f t="shared" si="229"/>
        <v>408.00000000000006</v>
      </c>
      <c r="AM161" s="470">
        <f t="shared" si="230"/>
        <v>229.58320938170309</v>
      </c>
      <c r="AO161">
        <f t="shared" si="180"/>
        <v>408.00000000000006</v>
      </c>
      <c r="AP161">
        <f t="shared" si="181"/>
        <v>229.58320938170309</v>
      </c>
      <c r="AR161" s="6">
        <f t="shared" si="214"/>
        <v>4.3557192300479102</v>
      </c>
      <c r="AS161" s="6">
        <f t="shared" si="211"/>
        <v>2.510944026733501</v>
      </c>
      <c r="AT161" s="6">
        <f t="shared" si="212"/>
        <v>1.8447752033144091</v>
      </c>
      <c r="AU161" s="178">
        <f t="shared" si="213"/>
        <v>0.57647058823529407</v>
      </c>
      <c r="AW161" s="6">
        <f>L*Iout^2/(2*Vripple1_spec*Vout*Npri_sec1^2)*1000000000*((1+N161)/(1-N161))^2</f>
        <v>21.552126200274348</v>
      </c>
      <c r="AX161" s="6">
        <f>L*F161^2/(2*Cout*Vout*Nps^2)*1000000000*((1+N161)/(1-N161))^2+F161*RCoutEsr</f>
        <v>15.536446020488572</v>
      </c>
      <c r="AY161" s="6">
        <f>L*Iout2^2/(2*Vout_ripple2*Vout2*Npri_sec2^2)*1000000000*((1+N161)/(1-N161))^2</f>
        <v>8.4187992969821668</v>
      </c>
      <c r="AZ161" s="6">
        <f>L*G161^2/(2*Cout2*Vout2*Npri_sec2^2)*1000000000*((1+N161)/(1-N161))^2+G161*CoutEsr2</f>
        <v>6.3557992267533479</v>
      </c>
      <c r="BA161" s="6">
        <f>(H161+I161)/Efficiency/J161*AT161/Vinripple1</f>
        <v>2.5431287013332362</v>
      </c>
      <c r="BB161" s="6"/>
      <c r="BC161" s="6"/>
      <c r="BD161" s="178">
        <f t="shared" si="185"/>
        <v>1.4151727287861098</v>
      </c>
      <c r="BE161" s="178">
        <f t="shared" si="186"/>
        <v>1.21300519610238</v>
      </c>
      <c r="BF161" s="178">
        <f t="shared" si="187"/>
        <v>0.75812824756398733</v>
      </c>
      <c r="BG161" s="178"/>
      <c r="BH161" s="543">
        <f t="shared" si="188"/>
        <v>0.22029852375299169</v>
      </c>
      <c r="BI161" s="543">
        <f t="shared" si="189"/>
        <v>7.8750000000000001E-2</v>
      </c>
      <c r="BJ161" s="543">
        <f t="shared" si="190"/>
        <v>1.1479160469085155E-2</v>
      </c>
      <c r="BK161" s="543">
        <f t="shared" si="191"/>
        <v>2.3326012796945694E-2</v>
      </c>
      <c r="BL161">
        <f t="shared" si="192"/>
        <v>2.6099999999999999E-3</v>
      </c>
      <c r="BM161" s="470">
        <f t="shared" si="193"/>
        <v>336.4636970190225</v>
      </c>
      <c r="BN161" s="178">
        <f t="shared" si="194"/>
        <v>0.16320000000000001</v>
      </c>
      <c r="BO161" s="178">
        <f t="shared" si="195"/>
        <v>0.10200000000000001</v>
      </c>
      <c r="BP161" s="543"/>
      <c r="BR161" s="470">
        <f t="shared" si="196"/>
        <v>265.2</v>
      </c>
      <c r="BS161" s="543">
        <f t="shared" si="197"/>
        <v>8.0108554091996978E-2</v>
      </c>
      <c r="BT161" s="543">
        <f t="shared" si="198"/>
        <v>5.8855264230854937E-2</v>
      </c>
      <c r="BU161" s="543">
        <f t="shared" si="199"/>
        <v>1.7242753192633273E-2</v>
      </c>
      <c r="BV161" s="543">
        <f t="shared" si="200"/>
        <v>0</v>
      </c>
      <c r="BW161" s="648">
        <f t="shared" si="231"/>
        <v>8.9729323308270714E-2</v>
      </c>
      <c r="BX161" s="470">
        <f t="shared" si="202"/>
        <v>245.93589482375592</v>
      </c>
      <c r="BY161" s="178">
        <f t="shared" si="203"/>
        <v>0.84759959184277855</v>
      </c>
      <c r="BZ161" s="6">
        <f t="shared" si="204"/>
        <v>7.9560000000000013</v>
      </c>
      <c r="CA161" s="178">
        <f t="shared" si="205"/>
        <v>0.90372124686041544</v>
      </c>
      <c r="CB161" s="6">
        <f t="shared" si="206"/>
        <v>90.372124686041545</v>
      </c>
      <c r="CC161">
        <f t="shared" si="207"/>
        <v>51</v>
      </c>
      <c r="CE161" s="577">
        <f t="shared" si="232"/>
        <v>-50</v>
      </c>
      <c r="CF161">
        <f t="shared" si="233"/>
        <v>-50</v>
      </c>
    </row>
    <row r="162" spans="5:84" x14ac:dyDescent="0.2">
      <c r="E162" s="175">
        <v>52</v>
      </c>
      <c r="F162" s="222">
        <f t="shared" si="234"/>
        <v>0.41600000000000004</v>
      </c>
      <c r="G162" s="222">
        <f t="shared" si="215"/>
        <v>0.26</v>
      </c>
      <c r="H162" s="222">
        <f t="shared" si="216"/>
        <v>4.9920000000000009</v>
      </c>
      <c r="I162" s="222">
        <f t="shared" si="217"/>
        <v>3.12</v>
      </c>
      <c r="J162" s="556">
        <f t="shared" si="155"/>
        <v>9</v>
      </c>
      <c r="K162" s="452">
        <f t="shared" si="156"/>
        <v>12.25</v>
      </c>
      <c r="L162" s="452">
        <f t="shared" si="157"/>
        <v>21.25</v>
      </c>
      <c r="M162" s="452"/>
      <c r="N162" s="222">
        <f t="shared" si="158"/>
        <v>0.57647058823529407</v>
      </c>
      <c r="O162" s="177">
        <f t="shared" si="218"/>
        <v>6.2179004524886858</v>
      </c>
      <c r="P162" s="177">
        <f t="shared" si="219"/>
        <v>6.3150551470588203</v>
      </c>
      <c r="Q162" s="222">
        <f t="shared" si="161"/>
        <v>0.51815837104072382</v>
      </c>
      <c r="R162" s="222">
        <f t="shared" si="220"/>
        <v>0.51815837104072382</v>
      </c>
      <c r="S162" s="222">
        <f t="shared" si="221"/>
        <v>12</v>
      </c>
      <c r="T162" s="222">
        <f t="shared" si="222"/>
        <v>3.2916577157178675</v>
      </c>
      <c r="U162" s="222">
        <f t="shared" si="165"/>
        <v>2.560178223336119</v>
      </c>
      <c r="V162" s="222">
        <f t="shared" si="166"/>
        <v>1.8809472661244957</v>
      </c>
      <c r="W162" s="202">
        <f t="shared" si="167"/>
        <v>350</v>
      </c>
      <c r="X162" s="452">
        <f t="shared" si="168"/>
        <v>225.16814766282417</v>
      </c>
      <c r="Z162" s="222">
        <f t="shared" si="169"/>
        <v>2.1176470588235294</v>
      </c>
      <c r="AA162" s="178">
        <f t="shared" si="170"/>
        <v>1.2100840336134453</v>
      </c>
      <c r="AB162" s="178">
        <f t="shared" si="223"/>
        <v>0.27596486558424271</v>
      </c>
      <c r="AC162" s="178"/>
      <c r="AD162" s="178">
        <f t="shared" si="172"/>
        <v>0.46857142857142853</v>
      </c>
      <c r="AE162" s="560">
        <f t="shared" si="224"/>
        <v>2165.3777513384898</v>
      </c>
      <c r="AF162" s="543">
        <f t="shared" si="225"/>
        <v>6.723999999999998E-2</v>
      </c>
      <c r="AH162" s="178">
        <f t="shared" si="226"/>
        <v>2.5733326283880467</v>
      </c>
      <c r="AI162" s="178">
        <f t="shared" si="227"/>
        <v>3.2916577157178675</v>
      </c>
      <c r="AJ162" s="178">
        <f t="shared" si="228"/>
        <v>3.0308575671984208</v>
      </c>
      <c r="AL162" s="560">
        <f t="shared" si="229"/>
        <v>416.00000000000006</v>
      </c>
      <c r="AM162" s="470">
        <f t="shared" si="230"/>
        <v>225.16814766282417</v>
      </c>
      <c r="AO162">
        <f t="shared" si="180"/>
        <v>416.00000000000006</v>
      </c>
      <c r="AP162">
        <f t="shared" si="181"/>
        <v>225.16814766282417</v>
      </c>
      <c r="AR162" s="6">
        <f t="shared" si="214"/>
        <v>4.4411254894606147</v>
      </c>
      <c r="AS162" s="6">
        <f t="shared" si="211"/>
        <v>2.560178223336119</v>
      </c>
      <c r="AT162" s="6">
        <f t="shared" si="212"/>
        <v>1.8809472661244957</v>
      </c>
      <c r="AU162" s="178">
        <f t="shared" si="213"/>
        <v>0.57647058823529407</v>
      </c>
      <c r="AW162" s="6">
        <f>L*Iout^2/(2*Vripple1_spec*Vout*Npri_sec1^2)*1000000000*((1+N162)/(1-N162))^2</f>
        <v>21.552126200274348</v>
      </c>
      <c r="AX162" s="6">
        <f>L*F162^2/(2*Cout*Vout*Nps^2)*1000000000*((1+N162)/(1-N162))^2+F162*RCoutEsr</f>
        <v>16.127221083968131</v>
      </c>
      <c r="AY162" s="6">
        <f>L*Iout2^2/(2*Vout_ripple2*Vout2*Npri_sec2^2)*1000000000*((1+N162)/(1-N162))^2</f>
        <v>8.4187992969821668</v>
      </c>
      <c r="AZ162" s="6">
        <f>L*G162^2/(2*Cout2*Vout2*Npri_sec2^2)*1000000000*((1+N162)/(1-N162))^2+G162*CoutEsr2</f>
        <v>6.59219573592505</v>
      </c>
      <c r="BA162" s="6">
        <f>(H162+I162)/Efficiency/J162*AT162/Vinripple1</f>
        <v>2.6438369890061795</v>
      </c>
      <c r="BB162" s="6"/>
      <c r="BC162" s="6"/>
      <c r="BD162" s="178">
        <f t="shared" si="185"/>
        <v>1.4429212136642688</v>
      </c>
      <c r="BE162" s="178">
        <f t="shared" si="186"/>
        <v>1.2367896117122306</v>
      </c>
      <c r="BF162" s="178">
        <f t="shared" si="187"/>
        <v>0.77299350732014394</v>
      </c>
      <c r="BG162" s="178"/>
      <c r="BH162" s="543">
        <f t="shared" si="188"/>
        <v>0.22902237917266036</v>
      </c>
      <c r="BI162" s="543">
        <f t="shared" si="189"/>
        <v>7.8750000000000001E-2</v>
      </c>
      <c r="BJ162" s="543">
        <f t="shared" si="190"/>
        <v>1.1258407383141208E-2</v>
      </c>
      <c r="BK162" s="543">
        <f t="shared" si="191"/>
        <v>2.2877435627773657E-2</v>
      </c>
      <c r="BL162">
        <f t="shared" si="192"/>
        <v>2.6099999999999999E-3</v>
      </c>
      <c r="BM162" s="470">
        <f t="shared" si="193"/>
        <v>344.51822218357523</v>
      </c>
      <c r="BN162" s="178">
        <f t="shared" si="194"/>
        <v>0.16640000000000002</v>
      </c>
      <c r="BO162" s="178">
        <f t="shared" si="195"/>
        <v>0.10400000000000001</v>
      </c>
      <c r="BP162" s="543"/>
      <c r="BR162" s="470">
        <f t="shared" si="196"/>
        <v>270.40000000000003</v>
      </c>
      <c r="BS162" s="543">
        <f t="shared" si="197"/>
        <v>8.3280865153694678E-2</v>
      </c>
      <c r="BT162" s="543">
        <f t="shared" si="198"/>
        <v>6.1185941745571605E-2</v>
      </c>
      <c r="BU162" s="543">
        <f t="shared" si="199"/>
        <v>1.7925568870772922E-2</v>
      </c>
      <c r="BV162" s="543">
        <f t="shared" si="200"/>
        <v>0</v>
      </c>
      <c r="BW162" s="648">
        <f t="shared" si="231"/>
        <v>9.1488721804511328E-2</v>
      </c>
      <c r="BX162" s="470">
        <f t="shared" si="202"/>
        <v>253.88109757455052</v>
      </c>
      <c r="BY162" s="178">
        <f t="shared" si="203"/>
        <v>0.86879931975812574</v>
      </c>
      <c r="BZ162" s="6">
        <f t="shared" si="204"/>
        <v>8.1120000000000019</v>
      </c>
      <c r="CA162" s="178">
        <f t="shared" si="205"/>
        <v>0.90326035703228214</v>
      </c>
      <c r="CB162" s="6">
        <f t="shared" si="206"/>
        <v>90.326035703228214</v>
      </c>
      <c r="CC162">
        <f t="shared" si="207"/>
        <v>52</v>
      </c>
      <c r="CE162" s="577">
        <f t="shared" si="232"/>
        <v>-50</v>
      </c>
      <c r="CF162">
        <f t="shared" si="233"/>
        <v>-50</v>
      </c>
    </row>
    <row r="163" spans="5:84" x14ac:dyDescent="0.2">
      <c r="E163" s="175">
        <v>53</v>
      </c>
      <c r="F163" s="222">
        <f t="shared" si="234"/>
        <v>0.42400000000000004</v>
      </c>
      <c r="G163" s="222">
        <f t="shared" si="215"/>
        <v>0.26500000000000001</v>
      </c>
      <c r="H163" s="222">
        <f t="shared" si="216"/>
        <v>5.088000000000001</v>
      </c>
      <c r="I163" s="222">
        <f t="shared" si="217"/>
        <v>3.18</v>
      </c>
      <c r="J163" s="556">
        <f t="shared" si="155"/>
        <v>9</v>
      </c>
      <c r="K163" s="452">
        <f t="shared" si="156"/>
        <v>12.25</v>
      </c>
      <c r="L163" s="452">
        <f t="shared" si="157"/>
        <v>21.25</v>
      </c>
      <c r="M163" s="452"/>
      <c r="N163" s="222">
        <f t="shared" si="158"/>
        <v>0.57647058823529407</v>
      </c>
      <c r="O163" s="177">
        <f t="shared" si="218"/>
        <v>6.2179004524886858</v>
      </c>
      <c r="P163" s="177">
        <f t="shared" si="219"/>
        <v>6.3150551470588203</v>
      </c>
      <c r="Q163" s="222">
        <f t="shared" si="161"/>
        <v>0.51815837104072382</v>
      </c>
      <c r="R163" s="222">
        <f t="shared" si="220"/>
        <v>0.51815837104072382</v>
      </c>
      <c r="S163" s="222">
        <f t="shared" si="221"/>
        <v>12</v>
      </c>
      <c r="T163" s="222">
        <f t="shared" si="222"/>
        <v>3.3549588256355185</v>
      </c>
      <c r="U163" s="222">
        <f t="shared" si="165"/>
        <v>2.6094124199387365</v>
      </c>
      <c r="V163" s="222">
        <f t="shared" si="166"/>
        <v>1.9171193289345818</v>
      </c>
      <c r="W163" s="202">
        <f t="shared" si="167"/>
        <v>350</v>
      </c>
      <c r="X163" s="452">
        <f t="shared" si="168"/>
        <v>220.9196920465445</v>
      </c>
      <c r="Z163" s="222">
        <f t="shared" si="169"/>
        <v>2.1176470588235294</v>
      </c>
      <c r="AA163" s="178">
        <f t="shared" si="170"/>
        <v>1.2100840336134453</v>
      </c>
      <c r="AB163" s="178">
        <f t="shared" si="223"/>
        <v>0.27596486558424271</v>
      </c>
      <c r="AC163" s="178"/>
      <c r="AD163" s="178">
        <f t="shared" si="172"/>
        <v>0.46857142857142853</v>
      </c>
      <c r="AE163" s="560">
        <f t="shared" si="224"/>
        <v>2207.0196311719224</v>
      </c>
      <c r="AF163" s="543">
        <f t="shared" si="225"/>
        <v>6.723999999999998E-2</v>
      </c>
      <c r="AH163" s="178">
        <f t="shared" si="226"/>
        <v>2.5979583820958414</v>
      </c>
      <c r="AI163" s="178">
        <f t="shared" si="227"/>
        <v>3.3549588256355185</v>
      </c>
      <c r="AJ163" s="178">
        <f t="shared" si="228"/>
        <v>3.0777472782485322</v>
      </c>
      <c r="AL163" s="560">
        <f t="shared" si="229"/>
        <v>424.00000000000006</v>
      </c>
      <c r="AM163" s="470">
        <f t="shared" si="230"/>
        <v>220.9196920465445</v>
      </c>
      <c r="AO163">
        <f t="shared" si="180"/>
        <v>424.00000000000006</v>
      </c>
      <c r="AP163">
        <f t="shared" si="181"/>
        <v>220.9196920465445</v>
      </c>
      <c r="AR163" s="6">
        <f t="shared" si="214"/>
        <v>4.5265317488733183</v>
      </c>
      <c r="AS163" s="6">
        <f t="shared" si="211"/>
        <v>2.6094124199387365</v>
      </c>
      <c r="AT163" s="6">
        <f t="shared" si="212"/>
        <v>1.9171193289345818</v>
      </c>
      <c r="AU163" s="178">
        <f t="shared" si="213"/>
        <v>0.57647058823529418</v>
      </c>
      <c r="AW163" s="6">
        <f>L*Iout^2/(2*Vripple1_spec*Vout*Npri_sec1^2)*1000000000*((1+N163)/(1-N163))^2</f>
        <v>21.552126200274348</v>
      </c>
      <c r="AX163" s="6">
        <f>L*F163^2/(2*Cout*Vout*Nps^2)*1000000000*((1+N163)/(1-N163))^2+F163*RCoutEsr</f>
        <v>16.729001488486126</v>
      </c>
      <c r="AY163" s="6">
        <f>L*Iout2^2/(2*Vout_ripple2*Vout2*Npri_sec2^2)*1000000000*((1+N163)/(1-N163))^2</f>
        <v>8.4187992969821668</v>
      </c>
      <c r="AZ163" s="6">
        <f>L*G163^2/(2*Cout2*Vout2*Npri_sec2^2)*1000000000*((1+N163)/(1-N163))^2+G163*CoutEsr2</f>
        <v>6.832891206439891</v>
      </c>
      <c r="BA163" s="6">
        <f>(H163+I163)/Efficiency/J163*AT163/Vinripple1</f>
        <v>2.7465007774106347</v>
      </c>
      <c r="BB163" s="6"/>
      <c r="BC163" s="6"/>
      <c r="BD163" s="178">
        <f t="shared" si="185"/>
        <v>1.4706696985424279</v>
      </c>
      <c r="BE163" s="178">
        <f t="shared" si="186"/>
        <v>1.2605740273220809</v>
      </c>
      <c r="BF163" s="178">
        <f t="shared" si="187"/>
        <v>0.78785876707630043</v>
      </c>
      <c r="BG163" s="178"/>
      <c r="BH163" s="543">
        <f t="shared" si="188"/>
        <v>0.23791562984319634</v>
      </c>
      <c r="BI163" s="543">
        <f t="shared" si="189"/>
        <v>7.8750000000000001E-2</v>
      </c>
      <c r="BJ163" s="543">
        <f t="shared" si="190"/>
        <v>1.1045984602327225E-2</v>
      </c>
      <c r="BK163" s="543">
        <f t="shared" si="191"/>
        <v>2.2445785898947742E-2</v>
      </c>
      <c r="BL163">
        <f t="shared" si="192"/>
        <v>2.6099999999999999E-3</v>
      </c>
      <c r="BM163" s="470">
        <f t="shared" si="193"/>
        <v>352.7674003444713</v>
      </c>
      <c r="BN163" s="178">
        <f t="shared" si="194"/>
        <v>0.16960000000000003</v>
      </c>
      <c r="BO163" s="178">
        <f t="shared" si="195"/>
        <v>0.10600000000000001</v>
      </c>
      <c r="BP163" s="543"/>
      <c r="BR163" s="470">
        <f t="shared" si="196"/>
        <v>275.60000000000008</v>
      </c>
      <c r="BS163" s="543">
        <f t="shared" si="197"/>
        <v>8.6514774488435031E-2</v>
      </c>
      <c r="BT163" s="543">
        <f t="shared" si="198"/>
        <v>6.3561875134360415E-2</v>
      </c>
      <c r="BU163" s="543">
        <f t="shared" si="199"/>
        <v>1.8621643105769643E-2</v>
      </c>
      <c r="BV163" s="543">
        <f t="shared" si="200"/>
        <v>0</v>
      </c>
      <c r="BW163" s="648">
        <f t="shared" si="231"/>
        <v>9.3248120300751927E-2</v>
      </c>
      <c r="BX163" s="470">
        <f t="shared" si="202"/>
        <v>261.946413029317</v>
      </c>
      <c r="BY163" s="178">
        <f t="shared" si="203"/>
        <v>0.89031381337378834</v>
      </c>
      <c r="BZ163" s="6">
        <f t="shared" si="204"/>
        <v>8.2680000000000007</v>
      </c>
      <c r="CA163" s="178">
        <f t="shared" si="205"/>
        <v>0.90278627359616426</v>
      </c>
      <c r="CB163" s="6">
        <f t="shared" si="206"/>
        <v>90.278627359616422</v>
      </c>
      <c r="CC163">
        <f t="shared" si="207"/>
        <v>53</v>
      </c>
      <c r="CE163" s="577">
        <f t="shared" si="232"/>
        <v>-50</v>
      </c>
      <c r="CF163">
        <f t="shared" si="233"/>
        <v>-50</v>
      </c>
    </row>
    <row r="164" spans="5:84" x14ac:dyDescent="0.2">
      <c r="E164" s="175">
        <v>54</v>
      </c>
      <c r="F164" s="222">
        <f t="shared" si="234"/>
        <v>0.43200000000000005</v>
      </c>
      <c r="G164" s="222">
        <f t="shared" si="215"/>
        <v>0.27</v>
      </c>
      <c r="H164" s="222">
        <f t="shared" si="216"/>
        <v>5.1840000000000011</v>
      </c>
      <c r="I164" s="222">
        <f t="shared" si="217"/>
        <v>3.24</v>
      </c>
      <c r="J164" s="556">
        <f t="shared" si="155"/>
        <v>9</v>
      </c>
      <c r="K164" s="452">
        <f t="shared" si="156"/>
        <v>12.25</v>
      </c>
      <c r="L164" s="452">
        <f t="shared" si="157"/>
        <v>21.25</v>
      </c>
      <c r="M164" s="452"/>
      <c r="N164" s="222">
        <f t="shared" si="158"/>
        <v>0.57647058823529407</v>
      </c>
      <c r="O164" s="177">
        <f t="shared" si="218"/>
        <v>6.2179004524886858</v>
      </c>
      <c r="P164" s="177">
        <f t="shared" si="219"/>
        <v>6.3150551470588203</v>
      </c>
      <c r="Q164" s="222">
        <f t="shared" si="161"/>
        <v>0.51815837104072382</v>
      </c>
      <c r="R164" s="222">
        <f t="shared" si="220"/>
        <v>0.51815837104072382</v>
      </c>
      <c r="S164" s="222">
        <f t="shared" si="221"/>
        <v>12</v>
      </c>
      <c r="T164" s="222">
        <f t="shared" si="222"/>
        <v>3.41825993555317</v>
      </c>
      <c r="U164" s="222">
        <f t="shared" si="165"/>
        <v>2.6586466165413545</v>
      </c>
      <c r="V164" s="222">
        <f t="shared" si="166"/>
        <v>1.9532913917446684</v>
      </c>
      <c r="W164" s="202">
        <f t="shared" si="167"/>
        <v>350</v>
      </c>
      <c r="X164" s="452">
        <f t="shared" si="168"/>
        <v>216.82858663827514</v>
      </c>
      <c r="Z164" s="222">
        <f t="shared" si="169"/>
        <v>2.1176470588235294</v>
      </c>
      <c r="AA164" s="178">
        <f t="shared" si="170"/>
        <v>1.2100840336134453</v>
      </c>
      <c r="AB164" s="178">
        <f t="shared" si="223"/>
        <v>0.27596486558424271</v>
      </c>
      <c r="AC164" s="178"/>
      <c r="AD164" s="178">
        <f t="shared" si="172"/>
        <v>0.46857142857142853</v>
      </c>
      <c r="AE164" s="560">
        <f t="shared" si="224"/>
        <v>2248.6615110053544</v>
      </c>
      <c r="AF164" s="543">
        <f t="shared" si="225"/>
        <v>6.723999999999998E-2</v>
      </c>
      <c r="AH164" s="178">
        <f t="shared" si="226"/>
        <v>2.6223528927048609</v>
      </c>
      <c r="AI164" s="178">
        <f t="shared" si="227"/>
        <v>3.41825993555317</v>
      </c>
      <c r="AJ164" s="178">
        <f t="shared" si="228"/>
        <v>3.1246369892986445</v>
      </c>
      <c r="AL164" s="560">
        <f t="shared" si="229"/>
        <v>432.00000000000006</v>
      </c>
      <c r="AM164" s="470">
        <f t="shared" si="230"/>
        <v>216.82858663827514</v>
      </c>
      <c r="AO164">
        <f t="shared" si="180"/>
        <v>432.00000000000006</v>
      </c>
      <c r="AP164">
        <f t="shared" si="181"/>
        <v>216.82858663827514</v>
      </c>
      <c r="AR164" s="6">
        <f t="shared" si="214"/>
        <v>4.6119380082860228</v>
      </c>
      <c r="AS164" s="6">
        <f t="shared" si="211"/>
        <v>2.6586466165413545</v>
      </c>
      <c r="AT164" s="6">
        <f t="shared" si="212"/>
        <v>1.9532913917446684</v>
      </c>
      <c r="AU164" s="178">
        <f t="shared" si="213"/>
        <v>0.57647058823529418</v>
      </c>
      <c r="AW164" s="6">
        <f>L*Iout^2/(2*Vripple1_spec*Vout*Npri_sec1^2)*1000000000*((1+N164)/(1-N164))^2</f>
        <v>21.552126200274348</v>
      </c>
      <c r="AX164" s="6">
        <f>L*F164^2/(2*Cout*Vout*Nps^2)*1000000000*((1+N164)/(1-N164))^2+F164*RCoutEsr</f>
        <v>17.341787234042553</v>
      </c>
      <c r="AY164" s="6">
        <f>L*Iout2^2/(2*Vout_ripple2*Vout2*Npri_sec2^2)*1000000000*((1+N164)/(1-N164))^2</f>
        <v>8.4187992969821668</v>
      </c>
      <c r="AZ164" s="6">
        <f>L*G164^2/(2*Cout2*Vout2*Npri_sec2^2)*1000000000*((1+N164)/(1-N164))^2+G164*CoutEsr2</f>
        <v>7.0778856382978717</v>
      </c>
      <c r="BA164" s="6">
        <f>(H164+I164)/Efficiency/J164*AT164/Vinripple1</f>
        <v>2.8511200665466041</v>
      </c>
      <c r="BB164" s="6"/>
      <c r="BC164" s="6"/>
      <c r="BD164" s="178">
        <f t="shared" si="185"/>
        <v>1.498418183420587</v>
      </c>
      <c r="BE164" s="178">
        <f t="shared" si="186"/>
        <v>1.2843584429319315</v>
      </c>
      <c r="BF164" s="178">
        <f t="shared" si="187"/>
        <v>0.80272402683245703</v>
      </c>
      <c r="BG164" s="178"/>
      <c r="BH164" s="543">
        <f t="shared" si="188"/>
        <v>0.24697827576459969</v>
      </c>
      <c r="BI164" s="543">
        <f t="shared" si="189"/>
        <v>7.8750000000000001E-2</v>
      </c>
      <c r="BJ164" s="543">
        <f t="shared" si="190"/>
        <v>1.0841429331913757E-2</v>
      </c>
      <c r="BK164" s="543">
        <f t="shared" si="191"/>
        <v>2.2030123197115375E-2</v>
      </c>
      <c r="BL164">
        <f t="shared" si="192"/>
        <v>2.6099999999999999E-3</v>
      </c>
      <c r="BM164" s="470">
        <f t="shared" si="193"/>
        <v>361.20982829362879</v>
      </c>
      <c r="BN164" s="178">
        <f t="shared" si="194"/>
        <v>0.17280000000000004</v>
      </c>
      <c r="BO164" s="178">
        <f t="shared" si="195"/>
        <v>0.10800000000000001</v>
      </c>
      <c r="BP164" s="543"/>
      <c r="BR164" s="470">
        <f t="shared" si="196"/>
        <v>280.80000000000007</v>
      </c>
      <c r="BS164" s="543">
        <f t="shared" si="197"/>
        <v>8.9810282096218066E-2</v>
      </c>
      <c r="BT164" s="543">
        <f t="shared" si="198"/>
        <v>6.598306439722143E-2</v>
      </c>
      <c r="BU164" s="543">
        <f t="shared" si="199"/>
        <v>1.9330975897623455E-2</v>
      </c>
      <c r="BV164" s="543">
        <f t="shared" si="200"/>
        <v>0</v>
      </c>
      <c r="BW164" s="648">
        <f t="shared" si="231"/>
        <v>9.5007518796992527E-2</v>
      </c>
      <c r="BX164" s="470">
        <f t="shared" si="202"/>
        <v>270.13184118805549</v>
      </c>
      <c r="BY164" s="178">
        <f t="shared" si="203"/>
        <v>0.9121416694816844</v>
      </c>
      <c r="BZ164" s="6">
        <f t="shared" si="204"/>
        <v>8.4240000000000013</v>
      </c>
      <c r="CA164" s="178">
        <f t="shared" si="205"/>
        <v>0.90229993269453845</v>
      </c>
      <c r="CB164" s="6">
        <f t="shared" si="206"/>
        <v>90.229993269453843</v>
      </c>
      <c r="CC164">
        <f t="shared" si="207"/>
        <v>54</v>
      </c>
      <c r="CE164" s="577">
        <f t="shared" si="232"/>
        <v>-50</v>
      </c>
      <c r="CF164">
        <f t="shared" si="233"/>
        <v>-50</v>
      </c>
    </row>
    <row r="165" spans="5:84" x14ac:dyDescent="0.2">
      <c r="E165" s="175">
        <v>55</v>
      </c>
      <c r="F165" s="222">
        <f t="shared" si="234"/>
        <v>0.44000000000000006</v>
      </c>
      <c r="G165" s="222">
        <f t="shared" si="215"/>
        <v>0.27500000000000002</v>
      </c>
      <c r="H165" s="222">
        <f t="shared" si="216"/>
        <v>5.2800000000000011</v>
      </c>
      <c r="I165" s="222">
        <f t="shared" si="217"/>
        <v>3.3000000000000003</v>
      </c>
      <c r="J165" s="556">
        <f t="shared" si="155"/>
        <v>9</v>
      </c>
      <c r="K165" s="452">
        <f t="shared" si="156"/>
        <v>12.25</v>
      </c>
      <c r="L165" s="452">
        <f t="shared" si="157"/>
        <v>21.25</v>
      </c>
      <c r="M165" s="452"/>
      <c r="N165" s="222">
        <f t="shared" si="158"/>
        <v>0.57647058823529407</v>
      </c>
      <c r="O165" s="177">
        <f t="shared" si="218"/>
        <v>6.2179004524886858</v>
      </c>
      <c r="P165" s="177">
        <f t="shared" si="219"/>
        <v>6.3150551470588203</v>
      </c>
      <c r="Q165" s="222">
        <f t="shared" si="161"/>
        <v>0.51815837104072382</v>
      </c>
      <c r="R165" s="222">
        <f t="shared" si="220"/>
        <v>0.51815837104072382</v>
      </c>
      <c r="S165" s="222">
        <f t="shared" si="221"/>
        <v>12</v>
      </c>
      <c r="T165" s="222">
        <f t="shared" si="222"/>
        <v>3.4815610454708215</v>
      </c>
      <c r="U165" s="222">
        <f t="shared" si="165"/>
        <v>2.707880813143972</v>
      </c>
      <c r="V165" s="222">
        <f t="shared" si="166"/>
        <v>1.9894634545547549</v>
      </c>
      <c r="W165" s="202">
        <f t="shared" si="167"/>
        <v>350</v>
      </c>
      <c r="X165" s="452">
        <f t="shared" si="168"/>
        <v>212.88624869939744</v>
      </c>
      <c r="Z165" s="222">
        <f t="shared" si="169"/>
        <v>2.1176470588235294</v>
      </c>
      <c r="AA165" s="178">
        <f t="shared" si="170"/>
        <v>1.2100840336134453</v>
      </c>
      <c r="AB165" s="178">
        <f t="shared" si="223"/>
        <v>0.27596486558424271</v>
      </c>
      <c r="AC165" s="178"/>
      <c r="AD165" s="178">
        <f t="shared" si="172"/>
        <v>0.46857142857142853</v>
      </c>
      <c r="AE165" s="560">
        <f t="shared" si="224"/>
        <v>2290.303390838787</v>
      </c>
      <c r="AF165" s="543">
        <f t="shared" si="225"/>
        <v>6.723999999999998E-2</v>
      </c>
      <c r="AH165" s="178">
        <f t="shared" si="226"/>
        <v>2.6465225547221514</v>
      </c>
      <c r="AI165" s="178">
        <f t="shared" si="227"/>
        <v>3.4815610454708215</v>
      </c>
      <c r="AJ165" s="178">
        <f t="shared" si="228"/>
        <v>3.1715267003487568</v>
      </c>
      <c r="AL165" s="560">
        <f t="shared" si="229"/>
        <v>440.00000000000006</v>
      </c>
      <c r="AM165" s="470">
        <f t="shared" si="230"/>
        <v>212.88624869939744</v>
      </c>
      <c r="AO165">
        <f t="shared" si="180"/>
        <v>440.00000000000006</v>
      </c>
      <c r="AP165">
        <f t="shared" si="181"/>
        <v>212.88624869939744</v>
      </c>
      <c r="AR165" s="6">
        <f t="shared" si="214"/>
        <v>4.6973442676987256</v>
      </c>
      <c r="AS165" s="6">
        <f t="shared" si="211"/>
        <v>2.707880813143972</v>
      </c>
      <c r="AT165" s="6">
        <f t="shared" si="212"/>
        <v>1.9894634545547536</v>
      </c>
      <c r="AU165" s="178">
        <f t="shared" si="213"/>
        <v>0.57647058823529429</v>
      </c>
      <c r="AW165" s="6">
        <f>L*Iout^2/(2*Vripple1_spec*Vout*Npri_sec1^2)*1000000000*((1+N165)/(1-N165))^2</f>
        <v>21.552126200274348</v>
      </c>
      <c r="AX165" s="6">
        <f>L*F165^2/(2*Cout*Vout*Nps^2)*1000000000*((1+N165)/(1-N165))^2+F165*RCoutEsr</f>
        <v>17.965578320637427</v>
      </c>
      <c r="AY165" s="6">
        <f>L*Iout2^2/(2*Vout_ripple2*Vout2*Npri_sec2^2)*1000000000*((1+N165)/(1-N165))^2</f>
        <v>8.4187992969821668</v>
      </c>
      <c r="AZ165" s="6">
        <f>L*G165^2/(2*Cout2*Vout2*Npri_sec2^2)*1000000000*((1+N165)/(1-N165))^2+G165*CoutEsr2</f>
        <v>7.3271790314989937</v>
      </c>
      <c r="BA165" s="6">
        <f>(H165+I165)/Efficiency/J165*AT165/Vinripple1</f>
        <v>2.957694856414085</v>
      </c>
      <c r="BB165" s="6"/>
      <c r="BC165" s="6"/>
      <c r="BD165" s="178">
        <f t="shared" si="185"/>
        <v>1.5261666682987463</v>
      </c>
      <c r="BE165" s="178">
        <f t="shared" si="186"/>
        <v>1.308142858541782</v>
      </c>
      <c r="BF165" s="178">
        <f t="shared" si="187"/>
        <v>0.81758928658861363</v>
      </c>
      <c r="BG165" s="178"/>
      <c r="BH165" s="543">
        <f t="shared" si="188"/>
        <v>0.25621031693687052</v>
      </c>
      <c r="BI165" s="543">
        <f t="shared" si="189"/>
        <v>7.8750000000000014E-2</v>
      </c>
      <c r="BJ165" s="543">
        <f t="shared" si="190"/>
        <v>1.0644312434969872E-2</v>
      </c>
      <c r="BK165" s="543">
        <f t="shared" si="191"/>
        <v>2.1629575502622372E-2</v>
      </c>
      <c r="BL165">
        <f t="shared" si="192"/>
        <v>2.6099999999999999E-3</v>
      </c>
      <c r="BM165" s="470">
        <f t="shared" si="193"/>
        <v>369.84420487446278</v>
      </c>
      <c r="BN165" s="178">
        <f t="shared" si="194"/>
        <v>0.17600000000000005</v>
      </c>
      <c r="BO165" s="178">
        <f t="shared" si="195"/>
        <v>0.11000000000000001</v>
      </c>
      <c r="BP165" s="543"/>
      <c r="BR165" s="470">
        <f t="shared" si="196"/>
        <v>286.00000000000006</v>
      </c>
      <c r="BS165" s="543">
        <f t="shared" si="197"/>
        <v>9.3167387977043811E-2</v>
      </c>
      <c r="BT165" s="543">
        <f t="shared" si="198"/>
        <v>6.8449509534154601E-2</v>
      </c>
      <c r="BU165" s="543">
        <f t="shared" si="199"/>
        <v>2.0053567246334347E-2</v>
      </c>
      <c r="BV165" s="543">
        <f t="shared" si="200"/>
        <v>0</v>
      </c>
      <c r="BW165" s="648">
        <f t="shared" si="231"/>
        <v>9.6766917293233154E-2</v>
      </c>
      <c r="BX165" s="470">
        <f t="shared" si="202"/>
        <v>278.4373820507659</v>
      </c>
      <c r="BY165" s="178">
        <f t="shared" si="203"/>
        <v>0.93428158692522878</v>
      </c>
      <c r="BZ165" s="6">
        <f t="shared" si="204"/>
        <v>8.5800000000000018</v>
      </c>
      <c r="CA165" s="178">
        <f t="shared" si="205"/>
        <v>0.90180219300959696</v>
      </c>
      <c r="CB165" s="6">
        <f t="shared" si="206"/>
        <v>90.180219300959692</v>
      </c>
      <c r="CC165">
        <f t="shared" si="207"/>
        <v>55.000000000000007</v>
      </c>
      <c r="CE165" s="577">
        <f t="shared" si="232"/>
        <v>-50</v>
      </c>
      <c r="CF165">
        <f t="shared" si="233"/>
        <v>-50</v>
      </c>
    </row>
    <row r="166" spans="5:84" x14ac:dyDescent="0.2">
      <c r="E166" s="175">
        <v>56</v>
      </c>
      <c r="F166" s="222">
        <f t="shared" si="234"/>
        <v>0.44800000000000006</v>
      </c>
      <c r="G166" s="222">
        <f t="shared" si="215"/>
        <v>0.28000000000000003</v>
      </c>
      <c r="H166" s="222">
        <f t="shared" si="216"/>
        <v>5.3760000000000012</v>
      </c>
      <c r="I166" s="222">
        <f t="shared" si="217"/>
        <v>3.3600000000000003</v>
      </c>
      <c r="J166" s="556">
        <f t="shared" si="155"/>
        <v>9</v>
      </c>
      <c r="K166" s="452">
        <f t="shared" si="156"/>
        <v>12.25</v>
      </c>
      <c r="L166" s="452">
        <f t="shared" si="157"/>
        <v>21.25</v>
      </c>
      <c r="M166" s="452"/>
      <c r="N166" s="222">
        <f t="shared" si="158"/>
        <v>0.57647058823529407</v>
      </c>
      <c r="O166" s="177">
        <f t="shared" si="218"/>
        <v>6.2179004524886858</v>
      </c>
      <c r="P166" s="177">
        <f t="shared" si="219"/>
        <v>6.3150551470588203</v>
      </c>
      <c r="Q166" s="222">
        <f t="shared" si="161"/>
        <v>0.51815837104072382</v>
      </c>
      <c r="R166" s="222">
        <f t="shared" si="220"/>
        <v>0.51815837104072382</v>
      </c>
      <c r="S166" s="222">
        <f t="shared" si="221"/>
        <v>12</v>
      </c>
      <c r="T166" s="222">
        <f t="shared" si="222"/>
        <v>3.544862155388472</v>
      </c>
      <c r="U166" s="222">
        <f t="shared" si="165"/>
        <v>2.7571150097465891</v>
      </c>
      <c r="V166" s="222">
        <f t="shared" si="166"/>
        <v>2.025635517364841</v>
      </c>
      <c r="W166" s="202">
        <f t="shared" si="167"/>
        <v>350</v>
      </c>
      <c r="X166" s="452">
        <f t="shared" si="168"/>
        <v>209.08470854405107</v>
      </c>
      <c r="Z166" s="222">
        <f t="shared" si="169"/>
        <v>2.1176470588235294</v>
      </c>
      <c r="AA166" s="178">
        <f t="shared" si="170"/>
        <v>1.2100840336134453</v>
      </c>
      <c r="AB166" s="178">
        <f t="shared" si="223"/>
        <v>0.27596486558424271</v>
      </c>
      <c r="AC166" s="178"/>
      <c r="AD166" s="178">
        <f t="shared" si="172"/>
        <v>0.46857142857142853</v>
      </c>
      <c r="AE166" s="560">
        <f t="shared" si="224"/>
        <v>2331.94527067222</v>
      </c>
      <c r="AF166" s="543">
        <f t="shared" si="225"/>
        <v>6.723999999999998E-2</v>
      </c>
      <c r="AH166" s="178">
        <f t="shared" si="226"/>
        <v>2.6704734732680966</v>
      </c>
      <c r="AI166" s="178">
        <f t="shared" si="227"/>
        <v>3.544862155388472</v>
      </c>
      <c r="AJ166" s="178">
        <f t="shared" si="228"/>
        <v>3.2184164113988682</v>
      </c>
      <c r="AL166" s="560">
        <f t="shared" si="229"/>
        <v>448.00000000000006</v>
      </c>
      <c r="AM166" s="470">
        <f t="shared" si="230"/>
        <v>209.08470854405107</v>
      </c>
      <c r="AO166">
        <f t="shared" si="180"/>
        <v>448.00000000000006</v>
      </c>
      <c r="AP166">
        <f t="shared" si="181"/>
        <v>209.08470854405107</v>
      </c>
      <c r="AR166" s="6">
        <f t="shared" si="214"/>
        <v>4.782750527111431</v>
      </c>
      <c r="AS166" s="6">
        <f t="shared" si="211"/>
        <v>2.7571150097465891</v>
      </c>
      <c r="AT166" s="6">
        <f t="shared" si="212"/>
        <v>2.0256355173648419</v>
      </c>
      <c r="AU166" s="178">
        <f t="shared" si="213"/>
        <v>0.57647058823529396</v>
      </c>
      <c r="AW166" s="6">
        <f>L*Iout^2/(2*Vripple1_spec*Vout*Npri_sec1^2)*1000000000*((1+N166)/(1-N166))^2</f>
        <v>21.552126200274348</v>
      </c>
      <c r="AX166" s="6">
        <f>L*F166^2/(2*Cout*Vout*Nps^2)*1000000000*((1+N166)/(1-N166))^2+F166*RCoutEsr</f>
        <v>18.600374748270735</v>
      </c>
      <c r="AY166" s="6">
        <f>L*Iout2^2/(2*Vout_ripple2*Vout2*Npri_sec2^2)*1000000000*((1+N166)/(1-N166))^2</f>
        <v>8.4187992969821668</v>
      </c>
      <c r="AZ166" s="6">
        <f>L*G166^2/(2*Cout2*Vout2*Npri_sec2^2)*1000000000*((1+N166)/(1-N166))^2+G166*CoutEsr2</f>
        <v>7.580771386043252</v>
      </c>
      <c r="BA166" s="6">
        <f>(H166+I166)/Efficiency/J166*AT166/Vinripple1</f>
        <v>3.0662251470130837</v>
      </c>
      <c r="BB166" s="6"/>
      <c r="BC166" s="6"/>
      <c r="BD166" s="178">
        <f t="shared" si="185"/>
        <v>1.5539151531769044</v>
      </c>
      <c r="BE166" s="178">
        <f t="shared" si="186"/>
        <v>1.3319272741516328</v>
      </c>
      <c r="BF166" s="178">
        <f t="shared" si="187"/>
        <v>0.83245454634477034</v>
      </c>
      <c r="BG166" s="178"/>
      <c r="BH166" s="543">
        <f t="shared" si="188"/>
        <v>0.26561175336000825</v>
      </c>
      <c r="BI166" s="543">
        <f t="shared" si="189"/>
        <v>7.8750000000000014E-2</v>
      </c>
      <c r="BJ166" s="543">
        <f t="shared" si="190"/>
        <v>1.0454235427202552E-2</v>
      </c>
      <c r="BK166" s="543">
        <f t="shared" si="191"/>
        <v>2.1243333082932688E-2</v>
      </c>
      <c r="BL166">
        <f t="shared" si="192"/>
        <v>2.6099999999999999E-3</v>
      </c>
      <c r="BM166" s="470">
        <f t="shared" si="193"/>
        <v>378.66932187014351</v>
      </c>
      <c r="BN166" s="178">
        <f t="shared" si="194"/>
        <v>0.17920000000000003</v>
      </c>
      <c r="BO166" s="178">
        <f t="shared" si="195"/>
        <v>0.11200000000000002</v>
      </c>
      <c r="BP166" s="543"/>
      <c r="BR166" s="470">
        <f t="shared" si="196"/>
        <v>291.2</v>
      </c>
      <c r="BS166" s="543">
        <f t="shared" si="197"/>
        <v>9.6586092130912085E-2</v>
      </c>
      <c r="BT166" s="543">
        <f t="shared" si="198"/>
        <v>7.0961210545159956E-2</v>
      </c>
      <c r="BU166" s="543">
        <f t="shared" si="199"/>
        <v>2.0789417151902322E-2</v>
      </c>
      <c r="BV166" s="543">
        <f t="shared" si="200"/>
        <v>0</v>
      </c>
      <c r="BW166" s="648">
        <f t="shared" si="231"/>
        <v>9.852631578947374E-2</v>
      </c>
      <c r="BX166" s="470">
        <f t="shared" si="202"/>
        <v>286.86303561744808</v>
      </c>
      <c r="BY166" s="178">
        <f t="shared" si="203"/>
        <v>0.95673235748759167</v>
      </c>
      <c r="BZ166" s="6">
        <f t="shared" si="204"/>
        <v>8.7360000000000007</v>
      </c>
      <c r="CA166" s="178">
        <f t="shared" si="205"/>
        <v>0.9012938434487443</v>
      </c>
      <c r="CB166" s="6">
        <f t="shared" si="206"/>
        <v>90.129384344874424</v>
      </c>
      <c r="CC166">
        <f t="shared" si="207"/>
        <v>56.000000000000007</v>
      </c>
      <c r="CE166" s="577">
        <f t="shared" si="232"/>
        <v>-50</v>
      </c>
      <c r="CF166">
        <f t="shared" si="233"/>
        <v>-50</v>
      </c>
    </row>
    <row r="167" spans="5:84" x14ac:dyDescent="0.2">
      <c r="E167" s="175">
        <v>57</v>
      </c>
      <c r="F167" s="222">
        <f t="shared" si="234"/>
        <v>0.45599999999999996</v>
      </c>
      <c r="G167" s="222">
        <f t="shared" si="215"/>
        <v>0.28499999999999998</v>
      </c>
      <c r="H167" s="222">
        <f t="shared" si="216"/>
        <v>5.4719999999999995</v>
      </c>
      <c r="I167" s="222">
        <f t="shared" si="217"/>
        <v>3.42</v>
      </c>
      <c r="J167" s="556">
        <f t="shared" si="155"/>
        <v>9</v>
      </c>
      <c r="K167" s="452">
        <f t="shared" si="156"/>
        <v>12.25</v>
      </c>
      <c r="L167" s="452">
        <f t="shared" si="157"/>
        <v>21.25</v>
      </c>
      <c r="M167" s="452"/>
      <c r="N167" s="222">
        <f t="shared" si="158"/>
        <v>0.57647058823529407</v>
      </c>
      <c r="O167" s="177">
        <f t="shared" si="218"/>
        <v>6.2179004524886858</v>
      </c>
      <c r="P167" s="177">
        <f t="shared" si="219"/>
        <v>6.3150551470588203</v>
      </c>
      <c r="Q167" s="222">
        <f t="shared" si="161"/>
        <v>0.51815837104072382</v>
      </c>
      <c r="R167" s="222">
        <f t="shared" si="220"/>
        <v>0.51815837104072382</v>
      </c>
      <c r="S167" s="222">
        <f t="shared" si="221"/>
        <v>12</v>
      </c>
      <c r="T167" s="222">
        <f t="shared" si="222"/>
        <v>3.6081632653061231</v>
      </c>
      <c r="U167" s="222">
        <f t="shared" si="165"/>
        <v>2.8063492063492066</v>
      </c>
      <c r="V167" s="222">
        <f t="shared" si="166"/>
        <v>2.0618075801749276</v>
      </c>
      <c r="W167" s="202">
        <f t="shared" si="167"/>
        <v>350</v>
      </c>
      <c r="X167" s="452">
        <f t="shared" si="168"/>
        <v>205.41655576257651</v>
      </c>
      <c r="Z167" s="222">
        <f t="shared" si="169"/>
        <v>2.1176470588235294</v>
      </c>
      <c r="AA167" s="178">
        <f t="shared" si="170"/>
        <v>1.2100840336134453</v>
      </c>
      <c r="AB167" s="178">
        <f t="shared" si="223"/>
        <v>0.27596486558424271</v>
      </c>
      <c r="AC167" s="178"/>
      <c r="AD167" s="178">
        <f t="shared" si="172"/>
        <v>0.46857142857142853</v>
      </c>
      <c r="AE167" s="560">
        <f t="shared" si="224"/>
        <v>2373.5871505056516</v>
      </c>
      <c r="AF167" s="543">
        <f t="shared" si="225"/>
        <v>6.723999999999998E-2</v>
      </c>
      <c r="AH167" s="178">
        <f t="shared" si="226"/>
        <v>2.6942114820860072</v>
      </c>
      <c r="AI167" s="178">
        <f t="shared" si="227"/>
        <v>3.6081632653061231</v>
      </c>
      <c r="AJ167" s="178">
        <f t="shared" si="228"/>
        <v>3.2653061224489797</v>
      </c>
      <c r="AL167" s="560">
        <f t="shared" si="229"/>
        <v>455.99999999999994</v>
      </c>
      <c r="AM167" s="470">
        <f t="shared" si="230"/>
        <v>205.41655576257651</v>
      </c>
      <c r="AO167">
        <f t="shared" si="180"/>
        <v>455.99999999999994</v>
      </c>
      <c r="AP167">
        <f t="shared" si="181"/>
        <v>205.41655576257651</v>
      </c>
      <c r="AR167" s="6">
        <f t="shared" si="214"/>
        <v>4.8681567865241346</v>
      </c>
      <c r="AS167" s="6">
        <f t="shared" si="211"/>
        <v>2.8063492063492066</v>
      </c>
      <c r="AT167" s="6">
        <f t="shared" si="212"/>
        <v>2.061807580174928</v>
      </c>
      <c r="AU167" s="178">
        <f t="shared" si="213"/>
        <v>0.57647058823529407</v>
      </c>
      <c r="AW167" s="6">
        <f>L*Iout^2/(2*Vripple1_spec*Vout*Npri_sec1^2)*1000000000*((1+N167)/(1-N167))^2</f>
        <v>21.552126200274348</v>
      </c>
      <c r="AX167" s="6">
        <f>L*F167^2/(2*Cout*Vout*Nps^2)*1000000000*((1+N167)/(1-N167))^2+F167*RCoutEsr</f>
        <v>19.246176516942466</v>
      </c>
      <c r="AY167" s="6">
        <f>L*Iout2^2/(2*Vout_ripple2*Vout2*Npri_sec2^2)*1000000000*((1+N167)/(1-N167))^2</f>
        <v>8.4187992969821668</v>
      </c>
      <c r="AZ167" s="6">
        <f>L*G167^2/(2*Cout2*Vout2*Npri_sec2^2)*1000000000*((1+N167)/(1-N167))^2+G167*CoutEsr2</f>
        <v>7.8386627019306516</v>
      </c>
      <c r="BA167" s="6">
        <f>(H167+I167)/Efficiency/J167*AT167/Vinripple1</f>
        <v>3.176710938343593</v>
      </c>
      <c r="BB167" s="6"/>
      <c r="BC167" s="6"/>
      <c r="BD167" s="178">
        <f t="shared" si="185"/>
        <v>1.5816636380550635</v>
      </c>
      <c r="BE167" s="178">
        <f t="shared" si="186"/>
        <v>1.3557116897614832</v>
      </c>
      <c r="BF167" s="178">
        <f t="shared" si="187"/>
        <v>0.84731980610092683</v>
      </c>
      <c r="BG167" s="178"/>
      <c r="BH167" s="543">
        <f t="shared" si="188"/>
        <v>0.27518258503401366</v>
      </c>
      <c r="BI167" s="543">
        <f t="shared" si="189"/>
        <v>7.8750000000000014E-2</v>
      </c>
      <c r="BJ167" s="543">
        <f t="shared" si="190"/>
        <v>1.0270827788128824E-2</v>
      </c>
      <c r="BK167" s="543">
        <f t="shared" si="191"/>
        <v>2.0870643028846152E-2</v>
      </c>
      <c r="BL167">
        <f t="shared" si="192"/>
        <v>2.6099999999999999E-3</v>
      </c>
      <c r="BM167" s="470">
        <f t="shared" si="193"/>
        <v>387.68405585098867</v>
      </c>
      <c r="BN167" s="178">
        <f t="shared" si="194"/>
        <v>0.18240000000000001</v>
      </c>
      <c r="BO167" s="178">
        <f t="shared" si="195"/>
        <v>0.11399999999999999</v>
      </c>
      <c r="BP167" s="543"/>
      <c r="BR167" s="470">
        <f t="shared" si="196"/>
        <v>296.39999999999998</v>
      </c>
      <c r="BS167" s="543">
        <f t="shared" si="197"/>
        <v>0.10006639455782315</v>
      </c>
      <c r="BT167" s="543">
        <f t="shared" si="198"/>
        <v>7.3518167430237438E-2</v>
      </c>
      <c r="BU167" s="543">
        <f t="shared" si="199"/>
        <v>2.1538525614327366E-2</v>
      </c>
      <c r="BV167" s="543">
        <f t="shared" si="200"/>
        <v>0</v>
      </c>
      <c r="BW167" s="648">
        <f t="shared" si="231"/>
        <v>0.10028571428571434</v>
      </c>
      <c r="BX167" s="470">
        <f t="shared" si="202"/>
        <v>295.40880188810229</v>
      </c>
      <c r="BY167" s="178">
        <f t="shared" si="203"/>
        <v>0.97949285773909101</v>
      </c>
      <c r="BZ167" s="6">
        <f t="shared" si="204"/>
        <v>8.8919999999999995</v>
      </c>
      <c r="CA167" s="178">
        <f t="shared" si="205"/>
        <v>0.90077560994523898</v>
      </c>
      <c r="CB167" s="6">
        <f t="shared" si="206"/>
        <v>90.077560994523893</v>
      </c>
      <c r="CC167">
        <f t="shared" si="207"/>
        <v>56.999999999999993</v>
      </c>
      <c r="CE167" s="577">
        <f t="shared" si="232"/>
        <v>-50</v>
      </c>
      <c r="CF167">
        <f t="shared" si="233"/>
        <v>-50</v>
      </c>
    </row>
    <row r="168" spans="5:84" x14ac:dyDescent="0.2">
      <c r="E168" s="175">
        <v>58</v>
      </c>
      <c r="F168" s="222">
        <f t="shared" si="234"/>
        <v>0.46399999999999997</v>
      </c>
      <c r="G168" s="222">
        <f t="shared" si="215"/>
        <v>0.28999999999999998</v>
      </c>
      <c r="H168" s="222">
        <f t="shared" si="216"/>
        <v>5.5679999999999996</v>
      </c>
      <c r="I168" s="222">
        <f t="shared" si="217"/>
        <v>3.4799999999999995</v>
      </c>
      <c r="J168" s="556">
        <f t="shared" si="155"/>
        <v>9</v>
      </c>
      <c r="K168" s="452">
        <f t="shared" si="156"/>
        <v>12.25</v>
      </c>
      <c r="L168" s="452">
        <f t="shared" si="157"/>
        <v>21.25</v>
      </c>
      <c r="M168" s="452"/>
      <c r="N168" s="222">
        <f t="shared" si="158"/>
        <v>0.57647058823529407</v>
      </c>
      <c r="O168" s="177">
        <f t="shared" si="218"/>
        <v>6.2179004524886858</v>
      </c>
      <c r="P168" s="177">
        <f t="shared" si="219"/>
        <v>6.3150551470588203</v>
      </c>
      <c r="Q168" s="222">
        <f t="shared" si="161"/>
        <v>0.51815837104072382</v>
      </c>
      <c r="R168" s="222">
        <f t="shared" si="220"/>
        <v>0.51815837104072382</v>
      </c>
      <c r="S168" s="222">
        <f t="shared" si="221"/>
        <v>12</v>
      </c>
      <c r="T168" s="222">
        <f t="shared" si="222"/>
        <v>3.6714643752237737</v>
      </c>
      <c r="U168" s="222">
        <f t="shared" si="165"/>
        <v>2.8555834029518237</v>
      </c>
      <c r="V168" s="222">
        <f t="shared" si="166"/>
        <v>2.0979796429850133</v>
      </c>
      <c r="W168" s="202">
        <f t="shared" si="167"/>
        <v>350</v>
      </c>
      <c r="X168" s="452">
        <f t="shared" si="168"/>
        <v>201.87489100804933</v>
      </c>
      <c r="Z168" s="222">
        <f t="shared" si="169"/>
        <v>2.1176470588235294</v>
      </c>
      <c r="AA168" s="178">
        <f t="shared" si="170"/>
        <v>1.2100840336134453</v>
      </c>
      <c r="AB168" s="178">
        <f t="shared" si="223"/>
        <v>0.27596486558424271</v>
      </c>
      <c r="AC168" s="178"/>
      <c r="AD168" s="178">
        <f t="shared" si="172"/>
        <v>0.46857142857142853</v>
      </c>
      <c r="AE168" s="560">
        <f t="shared" si="224"/>
        <v>2415.2290303390841</v>
      </c>
      <c r="AF168" s="543">
        <f t="shared" si="225"/>
        <v>6.723999999999998E-2</v>
      </c>
      <c r="AH168" s="178">
        <f t="shared" si="226"/>
        <v>2.7177421601357974</v>
      </c>
      <c r="AI168" s="178">
        <f t="shared" si="227"/>
        <v>3.6714643752237737</v>
      </c>
      <c r="AJ168" s="178">
        <f t="shared" si="228"/>
        <v>3.3121958334990911</v>
      </c>
      <c r="AL168" s="560">
        <f t="shared" si="229"/>
        <v>463.99999999999994</v>
      </c>
      <c r="AM168" s="470">
        <f t="shared" si="230"/>
        <v>201.87489100804933</v>
      </c>
      <c r="AO168">
        <f t="shared" si="180"/>
        <v>463.99999999999994</v>
      </c>
      <c r="AP168">
        <f t="shared" si="181"/>
        <v>201.87489100804933</v>
      </c>
      <c r="AR168" s="6">
        <f t="shared" si="214"/>
        <v>4.9535630459368383</v>
      </c>
      <c r="AS168" s="6">
        <f t="shared" si="211"/>
        <v>2.8555834029518237</v>
      </c>
      <c r="AT168" s="6">
        <f t="shared" si="212"/>
        <v>2.0979796429850146</v>
      </c>
      <c r="AU168" s="178">
        <f t="shared" si="213"/>
        <v>0.57647058823529396</v>
      </c>
      <c r="AW168" s="6">
        <f>L*Iout^2/(2*Vripple1_spec*Vout*Npri_sec1^2)*1000000000*((1+N168)/(1-N168))^2</f>
        <v>21.552126200274348</v>
      </c>
      <c r="AX168" s="6">
        <f>L*F168^2/(2*Cout*Vout*Nps^2)*1000000000*((1+N168)/(1-N168))^2+F168*RCoutEsr</f>
        <v>19.902983626652652</v>
      </c>
      <c r="AY168" s="6">
        <f>L*Iout2^2/(2*Vout_ripple2*Vout2*Npri_sec2^2)*1000000000*((1+N168)/(1-N168))^2</f>
        <v>8.4187992969821668</v>
      </c>
      <c r="AZ168" s="6">
        <f>L*G168^2/(2*Cout2*Vout2*Npri_sec2^2)*1000000000*((1+N168)/(1-N168))^2+G168*CoutEsr2</f>
        <v>8.1008529791611945</v>
      </c>
      <c r="BA168" s="6">
        <f>(H168+I168)/Efficiency/J168*AT168/Vinripple1</f>
        <v>3.2891522304056156</v>
      </c>
      <c r="BB168" s="6"/>
      <c r="BC168" s="6"/>
      <c r="BD168" s="178">
        <f t="shared" si="185"/>
        <v>1.6094121229332219</v>
      </c>
      <c r="BE168" s="178">
        <f t="shared" si="186"/>
        <v>1.3794961053713337</v>
      </c>
      <c r="BF168" s="178">
        <f t="shared" si="187"/>
        <v>0.86218506585708343</v>
      </c>
      <c r="BG168" s="178"/>
      <c r="BH168" s="543">
        <f t="shared" si="188"/>
        <v>0.28492281195888619</v>
      </c>
      <c r="BI168" s="543">
        <f t="shared" si="189"/>
        <v>7.8749999999999987E-2</v>
      </c>
      <c r="BJ168" s="543">
        <f t="shared" si="190"/>
        <v>1.0093744550402467E-2</v>
      </c>
      <c r="BK168" s="543">
        <f t="shared" si="191"/>
        <v>2.0510804355935011E-2</v>
      </c>
      <c r="BL168">
        <f t="shared" si="192"/>
        <v>2.6099999999999999E-3</v>
      </c>
      <c r="BM168" s="470">
        <f t="shared" si="193"/>
        <v>396.88736086522363</v>
      </c>
      <c r="BN168" s="178">
        <f t="shared" si="194"/>
        <v>0.18559999999999999</v>
      </c>
      <c r="BO168" s="178">
        <f t="shared" si="195"/>
        <v>0.11599999999999999</v>
      </c>
      <c r="BP168" s="543"/>
      <c r="BR168" s="470">
        <f t="shared" si="196"/>
        <v>301.59999999999997</v>
      </c>
      <c r="BS168" s="543">
        <f t="shared" si="197"/>
        <v>0.1036082952577768</v>
      </c>
      <c r="BT168" s="543">
        <f t="shared" si="198"/>
        <v>7.6120380189387118E-2</v>
      </c>
      <c r="BU168" s="543">
        <f t="shared" si="199"/>
        <v>2.2300892633609501E-2</v>
      </c>
      <c r="BV168" s="543">
        <f t="shared" si="200"/>
        <v>0</v>
      </c>
      <c r="BW168" s="648">
        <f t="shared" si="231"/>
        <v>0.1020451127819549</v>
      </c>
      <c r="BX168" s="470">
        <f t="shared" si="202"/>
        <v>304.07468086272831</v>
      </c>
      <c r="BY168" s="178">
        <f t="shared" si="203"/>
        <v>1.0025620417279519</v>
      </c>
      <c r="BZ168" s="6">
        <f t="shared" si="204"/>
        <v>9.0479999999999983</v>
      </c>
      <c r="CA168" s="178">
        <f t="shared" si="205"/>
        <v>0.9002481614893264</v>
      </c>
      <c r="CB168" s="6">
        <f t="shared" si="206"/>
        <v>90.024816148932644</v>
      </c>
      <c r="CC168">
        <f t="shared" si="207"/>
        <v>57.999999999999993</v>
      </c>
      <c r="CE168" s="577">
        <f t="shared" si="232"/>
        <v>-50</v>
      </c>
      <c r="CF168">
        <f t="shared" si="233"/>
        <v>-50</v>
      </c>
    </row>
    <row r="169" spans="5:84" x14ac:dyDescent="0.2">
      <c r="E169" s="175">
        <v>59</v>
      </c>
      <c r="F169" s="222">
        <f t="shared" si="234"/>
        <v>0.47199999999999998</v>
      </c>
      <c r="G169" s="222">
        <f t="shared" si="215"/>
        <v>0.29499999999999998</v>
      </c>
      <c r="H169" s="222">
        <f t="shared" si="216"/>
        <v>5.6639999999999997</v>
      </c>
      <c r="I169" s="222">
        <f t="shared" si="217"/>
        <v>3.54</v>
      </c>
      <c r="J169" s="556">
        <f t="shared" si="155"/>
        <v>9</v>
      </c>
      <c r="K169" s="452">
        <f t="shared" si="156"/>
        <v>12.25</v>
      </c>
      <c r="L169" s="452">
        <f t="shared" si="157"/>
        <v>21.25</v>
      </c>
      <c r="M169" s="452"/>
      <c r="N169" s="222">
        <f t="shared" si="158"/>
        <v>0.57647058823529407</v>
      </c>
      <c r="O169" s="177">
        <f t="shared" si="218"/>
        <v>6.2179004524886858</v>
      </c>
      <c r="P169" s="177">
        <f t="shared" si="219"/>
        <v>6.3150551470588203</v>
      </c>
      <c r="Q169" s="222">
        <f t="shared" si="161"/>
        <v>0.51815837104072382</v>
      </c>
      <c r="R169" s="222">
        <f t="shared" si="220"/>
        <v>0.51815837104072382</v>
      </c>
      <c r="S169" s="222">
        <f t="shared" si="221"/>
        <v>12</v>
      </c>
      <c r="T169" s="222">
        <f t="shared" si="222"/>
        <v>3.734765485141426</v>
      </c>
      <c r="U169" s="222">
        <f t="shared" si="165"/>
        <v>2.9048175995544425</v>
      </c>
      <c r="V169" s="222">
        <f t="shared" si="166"/>
        <v>2.1341517057951007</v>
      </c>
      <c r="W169" s="202">
        <f t="shared" si="167"/>
        <v>350</v>
      </c>
      <c r="X169" s="452">
        <f t="shared" si="168"/>
        <v>198.45328268587897</v>
      </c>
      <c r="Z169" s="222">
        <f t="shared" si="169"/>
        <v>2.1176470588235294</v>
      </c>
      <c r="AA169" s="178">
        <f t="shared" si="170"/>
        <v>1.2100840336134453</v>
      </c>
      <c r="AB169" s="178">
        <f t="shared" si="223"/>
        <v>0.27596486558424271</v>
      </c>
      <c r="AC169" s="178"/>
      <c r="AD169" s="178">
        <f t="shared" si="172"/>
        <v>0.46857142857142853</v>
      </c>
      <c r="AE169" s="560">
        <f t="shared" si="224"/>
        <v>2456.8709101725171</v>
      </c>
      <c r="AF169" s="543">
        <f t="shared" si="225"/>
        <v>6.723999999999998E-2</v>
      </c>
      <c r="AH169" s="178">
        <f t="shared" si="226"/>
        <v>2.7410708469054756</v>
      </c>
      <c r="AI169" s="178">
        <f t="shared" si="227"/>
        <v>3.734765485141426</v>
      </c>
      <c r="AJ169" s="178">
        <f t="shared" si="228"/>
        <v>3.3590855445492043</v>
      </c>
      <c r="AL169" s="560">
        <f t="shared" si="229"/>
        <v>472</v>
      </c>
      <c r="AM169" s="470">
        <f t="shared" si="230"/>
        <v>198.45328268587897</v>
      </c>
      <c r="AO169">
        <f t="shared" si="180"/>
        <v>472</v>
      </c>
      <c r="AP169">
        <f t="shared" si="181"/>
        <v>198.45328268587897</v>
      </c>
      <c r="AR169" s="6">
        <f t="shared" si="214"/>
        <v>5.0389693053495428</v>
      </c>
      <c r="AS169" s="6">
        <f t="shared" si="211"/>
        <v>2.9048175995544425</v>
      </c>
      <c r="AT169" s="6">
        <f t="shared" si="212"/>
        <v>2.1341517057951003</v>
      </c>
      <c r="AU169" s="178">
        <f t="shared" si="213"/>
        <v>0.57647058823529418</v>
      </c>
      <c r="AW169" s="6">
        <f>L*Iout^2/(2*Vripple1_spec*Vout*Npri_sec1^2)*1000000000*((1+N169)/(1-N169))^2</f>
        <v>21.552126200274348</v>
      </c>
      <c r="AX169" s="6">
        <f>L*F169^2/(2*Cout*Vout*Nps^2)*1000000000*((1+N169)/(1-N169))^2+F169*RCoutEsr</f>
        <v>20.570796077401273</v>
      </c>
      <c r="AY169" s="6">
        <f>L*Iout2^2/(2*Vout_ripple2*Vout2*Npri_sec2^2)*1000000000*((1+N169)/(1-N169))^2</f>
        <v>8.4187992969821668</v>
      </c>
      <c r="AZ169" s="6">
        <f>L*G169^2/(2*Cout2*Vout2*Npri_sec2^2)*1000000000*((1+N169)/(1-N169))^2+G169*CoutEsr2</f>
        <v>8.3673422177348726</v>
      </c>
      <c r="BA169" s="6">
        <f>(H169+I169)/Efficiency/J169*AT169/Vinripple1</f>
        <v>3.4035490231991523</v>
      </c>
      <c r="BB169" s="6"/>
      <c r="BC169" s="6"/>
      <c r="BD169" s="178">
        <f t="shared" si="185"/>
        <v>1.6371606078113818</v>
      </c>
      <c r="BE169" s="178">
        <f t="shared" si="186"/>
        <v>1.4032805209811843</v>
      </c>
      <c r="BF169" s="178">
        <f t="shared" si="187"/>
        <v>0.87705032561324003</v>
      </c>
      <c r="BG169" s="178"/>
      <c r="BH169" s="543">
        <f t="shared" si="188"/>
        <v>0.29483243413462662</v>
      </c>
      <c r="BI169" s="543">
        <f t="shared" si="189"/>
        <v>7.8750000000000001E-2</v>
      </c>
      <c r="BJ169" s="543">
        <f t="shared" si="190"/>
        <v>9.9226641342939487E-3</v>
      </c>
      <c r="BK169" s="543">
        <f t="shared" si="191"/>
        <v>2.01631636041395E-2</v>
      </c>
      <c r="BL169">
        <f t="shared" si="192"/>
        <v>2.6099999999999999E-3</v>
      </c>
      <c r="BM169" s="470">
        <f t="shared" si="193"/>
        <v>406.27826187306005</v>
      </c>
      <c r="BN169" s="178">
        <f t="shared" si="194"/>
        <v>0.1888</v>
      </c>
      <c r="BO169" s="178">
        <f t="shared" si="195"/>
        <v>0.11799999999999999</v>
      </c>
      <c r="BP169" s="543"/>
      <c r="BR169" s="470">
        <f t="shared" si="196"/>
        <v>306.79999999999995</v>
      </c>
      <c r="BS169" s="543">
        <f t="shared" si="197"/>
        <v>0.10721179423077333</v>
      </c>
      <c r="BT169" s="543">
        <f t="shared" si="198"/>
        <v>7.8767848822608968E-2</v>
      </c>
      <c r="BU169" s="543">
        <f t="shared" si="199"/>
        <v>2.3076518209748712E-2</v>
      </c>
      <c r="BV169" s="543">
        <f t="shared" si="200"/>
        <v>0</v>
      </c>
      <c r="BW169" s="648">
        <f t="shared" si="231"/>
        <v>0.10380451127819555</v>
      </c>
      <c r="BX169" s="470">
        <f t="shared" si="202"/>
        <v>312.86067254132655</v>
      </c>
      <c r="BY169" s="178">
        <f t="shared" si="203"/>
        <v>1.0259389344143865</v>
      </c>
      <c r="BZ169" s="6">
        <f t="shared" si="204"/>
        <v>9.2040000000000006</v>
      </c>
      <c r="CA169" s="178">
        <f t="shared" si="205"/>
        <v>0.89971211548848651</v>
      </c>
      <c r="CB169" s="6">
        <f t="shared" si="206"/>
        <v>89.971211548848657</v>
      </c>
      <c r="CC169">
        <f t="shared" si="207"/>
        <v>59</v>
      </c>
      <c r="CE169" s="577">
        <f t="shared" si="232"/>
        <v>-50</v>
      </c>
      <c r="CF169">
        <f t="shared" si="233"/>
        <v>-50</v>
      </c>
    </row>
    <row r="170" spans="5:84" x14ac:dyDescent="0.2">
      <c r="E170" s="175">
        <v>60</v>
      </c>
      <c r="F170" s="222">
        <f t="shared" si="234"/>
        <v>0.48</v>
      </c>
      <c r="G170" s="222">
        <f t="shared" si="215"/>
        <v>0.3</v>
      </c>
      <c r="H170" s="222">
        <f t="shared" si="216"/>
        <v>5.76</v>
      </c>
      <c r="I170" s="222">
        <f t="shared" si="217"/>
        <v>3.5999999999999996</v>
      </c>
      <c r="J170" s="556">
        <f t="shared" si="155"/>
        <v>9</v>
      </c>
      <c r="K170" s="452">
        <f t="shared" si="156"/>
        <v>12.25</v>
      </c>
      <c r="L170" s="452">
        <f t="shared" si="157"/>
        <v>21.25</v>
      </c>
      <c r="M170" s="452"/>
      <c r="N170" s="222">
        <f t="shared" si="158"/>
        <v>0.57647058823529407</v>
      </c>
      <c r="O170" s="177">
        <f t="shared" si="218"/>
        <v>6.2179004524886858</v>
      </c>
      <c r="P170" s="177">
        <f t="shared" si="219"/>
        <v>6.3150551470588203</v>
      </c>
      <c r="Q170" s="222">
        <f t="shared" si="161"/>
        <v>0.51815837104072382</v>
      </c>
      <c r="R170" s="222">
        <f t="shared" si="220"/>
        <v>0.51815837104072382</v>
      </c>
      <c r="S170" s="222">
        <f t="shared" si="221"/>
        <v>12</v>
      </c>
      <c r="T170" s="222">
        <f t="shared" si="222"/>
        <v>3.7980665950590766</v>
      </c>
      <c r="U170" s="222">
        <f t="shared" si="165"/>
        <v>2.9540517961570592</v>
      </c>
      <c r="V170" s="222">
        <f t="shared" si="166"/>
        <v>2.1703237686051864</v>
      </c>
      <c r="W170" s="202">
        <f t="shared" si="167"/>
        <v>350</v>
      </c>
      <c r="X170" s="452">
        <f t="shared" si="168"/>
        <v>195.14572797444771</v>
      </c>
      <c r="Z170" s="222">
        <f t="shared" si="169"/>
        <v>2.1176470588235294</v>
      </c>
      <c r="AA170" s="178">
        <f t="shared" si="170"/>
        <v>1.2100840336134453</v>
      </c>
      <c r="AB170" s="178">
        <f t="shared" si="223"/>
        <v>0.27596486558424271</v>
      </c>
      <c r="AC170" s="178"/>
      <c r="AD170" s="178">
        <f t="shared" si="172"/>
        <v>0.46857142857142853</v>
      </c>
      <c r="AE170" s="560">
        <f t="shared" si="224"/>
        <v>2498.5127900059492</v>
      </c>
      <c r="AF170" s="543">
        <f t="shared" si="225"/>
        <v>6.723999999999998E-2</v>
      </c>
      <c r="AH170" s="178">
        <f t="shared" si="226"/>
        <v>2.7642026565595028</v>
      </c>
      <c r="AI170" s="178">
        <f t="shared" si="227"/>
        <v>3.7980665950590766</v>
      </c>
      <c r="AJ170" s="178">
        <f t="shared" si="228"/>
        <v>3.4059752555993157</v>
      </c>
      <c r="AL170" s="560">
        <f t="shared" si="229"/>
        <v>480</v>
      </c>
      <c r="AM170" s="470">
        <f t="shared" si="230"/>
        <v>195.14572797444771</v>
      </c>
      <c r="AO170">
        <f t="shared" si="180"/>
        <v>480</v>
      </c>
      <c r="AP170">
        <f t="shared" si="181"/>
        <v>195.14572797444771</v>
      </c>
      <c r="AR170" s="6">
        <f t="shared" si="214"/>
        <v>5.1243755647622455</v>
      </c>
      <c r="AS170" s="6">
        <f t="shared" si="211"/>
        <v>2.9540517961570592</v>
      </c>
      <c r="AT170" s="6">
        <f t="shared" si="212"/>
        <v>2.1703237686051864</v>
      </c>
      <c r="AU170" s="178">
        <f t="shared" si="213"/>
        <v>0.57647058823529407</v>
      </c>
      <c r="AW170" s="6">
        <f>L*Iout^2/(2*Vripple1_spec*Vout*Npri_sec1^2)*1000000000*((1+N170)/(1-N170))^2</f>
        <v>21.552126200274348</v>
      </c>
      <c r="AX170" s="6">
        <f>L*F170^2/(2*Cout*Vout*Nps^2)*1000000000*((1+N170)/(1-N170))^2+F170*RCoutEsr</f>
        <v>21.249613869188334</v>
      </c>
      <c r="AY170" s="6">
        <f>L*Iout2^2/(2*Vout_ripple2*Vout2*Npri_sec2^2)*1000000000*((1+N170)/(1-N170))^2</f>
        <v>8.4187992969821668</v>
      </c>
      <c r="AZ170" s="6">
        <f>L*G170^2/(2*Cout2*Vout2*Npri_sec2^2)*1000000000*((1+N170)/(1-N170))^2+G170*CoutEsr2</f>
        <v>8.6381304176516931</v>
      </c>
      <c r="BA170" s="6">
        <f>(H170+I170)/Efficiency/J170*AT170/Vinripple1</f>
        <v>3.5199013167242006</v>
      </c>
      <c r="BB170" s="6"/>
      <c r="BC170" s="6"/>
      <c r="BD170" s="178">
        <f t="shared" ref="BD170:BD210" si="235">AI170*SQRT(AU170/3)</f>
        <v>1.6649090926895405</v>
      </c>
      <c r="BE170" s="178">
        <f t="shared" ref="BE170:BE210" si="236">AI170*Npri_sec1*SQRT((1-AU170)/3)*(Pout/Pout_total)</f>
        <v>1.4270649365910348</v>
      </c>
      <c r="BF170" s="178">
        <f t="shared" ref="BF170:BF210" si="237">AI170*Npri_sec2*SQRT((1-AU170)/3)*(Pout2/Pout_total)</f>
        <v>0.89191558536939664</v>
      </c>
      <c r="BG170" s="178"/>
      <c r="BH170" s="543">
        <f t="shared" ref="BH170:BH210" si="238">Rdson*BD170^2</f>
        <v>0.30491145156123395</v>
      </c>
      <c r="BI170" s="543">
        <f t="shared" ref="BI170:BI210" si="239">0.5*L170*AI170*AM170*1000*Trise</f>
        <v>7.8750000000000014E-2</v>
      </c>
      <c r="BJ170" s="543">
        <f t="shared" ref="BJ170:BJ210" si="240">Qg*Vdd*AM170*1000</f>
        <v>9.7572863987223854E-3</v>
      </c>
      <c r="BK170" s="543">
        <f t="shared" ref="BK170:BK210" si="241">0.5*(Coss+Csw)*L170^2*AM170*1000</f>
        <v>1.9827110877403849E-2</v>
      </c>
      <c r="BL170">
        <f t="shared" ref="BL170:BL210" si="242">J170*IQ</f>
        <v>2.6099999999999999E-3</v>
      </c>
      <c r="BM170" s="470">
        <f t="shared" ref="BM170:BM210" si="243">SUM(BH170:BL170)*1000</f>
        <v>415.85584883736021</v>
      </c>
      <c r="BN170" s="178">
        <f t="shared" ref="BN170:BN210" si="244">Vfwd2*F170</f>
        <v>0.192</v>
      </c>
      <c r="BO170" s="178">
        <f t="shared" ref="BO170:BO210" si="245">Vfwd2*G170</f>
        <v>0.12</v>
      </c>
      <c r="BP170" s="543"/>
      <c r="BR170" s="470">
        <f t="shared" ref="BR170:BR210" si="246">SUM(BN170:BQ170)*1000</f>
        <v>312</v>
      </c>
      <c r="BS170" s="543">
        <f t="shared" ref="BS170:BS210" si="247">Rdcr_pri*BD170^2</f>
        <v>0.11087689147681236</v>
      </c>
      <c r="BT170" s="543">
        <f t="shared" ref="BT170:BT210" si="248">Rdcr_sec*BE170^2</f>
        <v>8.1460573329902974E-2</v>
      </c>
      <c r="BU170" s="543">
        <f t="shared" ref="BU170:BU210" si="249">Rdcr_sec2*BF170^2</f>
        <v>2.3865402342745003E-2</v>
      </c>
      <c r="BV170" s="543">
        <f t="shared" ref="BV170:BV210" si="250">AI170^2.5*AM170^2.5*k_core</f>
        <v>0</v>
      </c>
      <c r="BW170" s="648">
        <f t="shared" si="231"/>
        <v>0.10556390977443612</v>
      </c>
      <c r="BX170" s="470">
        <f t="shared" ref="BX170:BX192" si="251">SUM(BS170:BW170)*1000</f>
        <v>321.76677692389643</v>
      </c>
      <c r="BY170" s="178">
        <f t="shared" ref="BY170:BY192" si="252">SUM(BH170:BL170,BN170:BQ170,BS170:BW170)</f>
        <v>1.0496226257612566</v>
      </c>
      <c r="BZ170" s="6">
        <f t="shared" ref="BZ170:BZ192" si="253">MIN(H170+I170,O170+P170)</f>
        <v>9.36</v>
      </c>
      <c r="CA170" s="178">
        <f t="shared" ref="CA170:CA192" si="254">BZ170/(BZ170+BY170)</f>
        <v>0.89916804254135985</v>
      </c>
      <c r="CB170" s="6">
        <f t="shared" ref="CB170:CB192" si="255">CA170*100</f>
        <v>89.916804254135982</v>
      </c>
      <c r="CC170">
        <f t="shared" ref="CC170:CC192" si="256">F170/Iout*100</f>
        <v>60</v>
      </c>
      <c r="CE170" s="577">
        <f t="shared" si="232"/>
        <v>-50</v>
      </c>
      <c r="CF170">
        <f t="shared" si="233"/>
        <v>-50</v>
      </c>
    </row>
    <row r="171" spans="5:84" x14ac:dyDescent="0.2">
      <c r="E171" s="175">
        <v>61</v>
      </c>
      <c r="F171" s="222">
        <f t="shared" si="234"/>
        <v>0.48799999999999999</v>
      </c>
      <c r="G171" s="222">
        <f t="shared" si="215"/>
        <v>0.30499999999999999</v>
      </c>
      <c r="H171" s="222">
        <f t="shared" si="216"/>
        <v>5.8559999999999999</v>
      </c>
      <c r="I171" s="222">
        <f t="shared" si="217"/>
        <v>3.66</v>
      </c>
      <c r="J171" s="556">
        <f t="shared" si="155"/>
        <v>9</v>
      </c>
      <c r="K171" s="452">
        <f t="shared" si="156"/>
        <v>12.25</v>
      </c>
      <c r="L171" s="452">
        <f t="shared" si="157"/>
        <v>21.25</v>
      </c>
      <c r="M171" s="452"/>
      <c r="N171" s="222">
        <f t="shared" si="158"/>
        <v>0.57647058823529407</v>
      </c>
      <c r="O171" s="177">
        <f t="shared" si="218"/>
        <v>6.2179004524886858</v>
      </c>
      <c r="P171" s="177">
        <f t="shared" si="219"/>
        <v>6.3150551470588203</v>
      </c>
      <c r="Q171" s="222">
        <f t="shared" si="161"/>
        <v>0.51815837104072382</v>
      </c>
      <c r="R171" s="222">
        <f t="shared" si="220"/>
        <v>0.51815837104072382</v>
      </c>
      <c r="S171" s="222">
        <f t="shared" si="221"/>
        <v>12</v>
      </c>
      <c r="T171" s="222">
        <f t="shared" si="222"/>
        <v>3.8613677049767281</v>
      </c>
      <c r="U171" s="222">
        <f t="shared" si="165"/>
        <v>3.0032859927596771</v>
      </c>
      <c r="V171" s="222">
        <f t="shared" si="166"/>
        <v>2.2064958314152734</v>
      </c>
      <c r="W171" s="202">
        <f t="shared" si="167"/>
        <v>350</v>
      </c>
      <c r="X171" s="452">
        <f t="shared" si="168"/>
        <v>191.94661767978459</v>
      </c>
      <c r="Z171" s="222">
        <f t="shared" si="169"/>
        <v>2.1176470588235294</v>
      </c>
      <c r="AA171" s="178">
        <f t="shared" si="170"/>
        <v>1.2100840336134453</v>
      </c>
      <c r="AB171" s="178">
        <f t="shared" si="223"/>
        <v>0.27596486558424271</v>
      </c>
      <c r="AC171" s="178"/>
      <c r="AD171" s="178">
        <f t="shared" si="172"/>
        <v>0.46857142857142853</v>
      </c>
      <c r="AE171" s="560">
        <f t="shared" si="224"/>
        <v>2540.1546698393818</v>
      </c>
      <c r="AF171" s="543">
        <f t="shared" si="225"/>
        <v>6.723999999999998E-2</v>
      </c>
      <c r="AH171" s="178">
        <f t="shared" si="226"/>
        <v>2.7871424910302167</v>
      </c>
      <c r="AI171" s="178">
        <f t="shared" si="227"/>
        <v>3.8613677049767281</v>
      </c>
      <c r="AJ171" s="178">
        <f t="shared" si="228"/>
        <v>3.452864966649428</v>
      </c>
      <c r="AL171" s="560">
        <f t="shared" si="229"/>
        <v>488</v>
      </c>
      <c r="AM171" s="470">
        <f t="shared" si="230"/>
        <v>191.94661767978459</v>
      </c>
      <c r="AO171">
        <f t="shared" si="180"/>
        <v>488</v>
      </c>
      <c r="AP171">
        <f t="shared" si="181"/>
        <v>191.94661767978459</v>
      </c>
      <c r="AR171" s="6">
        <f t="shared" si="214"/>
        <v>5.2097818241749509</v>
      </c>
      <c r="AS171" s="6">
        <f t="shared" si="211"/>
        <v>3.0032859927596771</v>
      </c>
      <c r="AT171" s="6">
        <f t="shared" si="212"/>
        <v>2.2064958314152738</v>
      </c>
      <c r="AU171" s="178">
        <f t="shared" si="213"/>
        <v>0.57647058823529407</v>
      </c>
      <c r="AW171" s="6">
        <f>L*Iout^2/(2*Vripple1_spec*Vout*Npri_sec1^2)*1000000000*((1+N171)/(1-N171))^2</f>
        <v>21.552126200274348</v>
      </c>
      <c r="AX171" s="6">
        <f>L*F171^2/(2*Cout*Vout*Nps^2)*1000000000*((1+N171)/(1-N171))^2+F171*RCoutEsr</f>
        <v>21.939437002013829</v>
      </c>
      <c r="AY171" s="6">
        <f>L*Iout2^2/(2*Vout_ripple2*Vout2*Npri_sec2^2)*1000000000*((1+N171)/(1-N171))^2</f>
        <v>8.4187992969821668</v>
      </c>
      <c r="AZ171" s="6">
        <f>L*G171^2/(2*Cout2*Vout2*Npri_sec2^2)*1000000000*((1+N171)/(1-N171))^2+G171*CoutEsr2</f>
        <v>8.9132175789116523</v>
      </c>
      <c r="BA171" s="6">
        <f>(H171+I171)/Efficiency/J171*AT171/Vinripple1</f>
        <v>3.6382091109807657</v>
      </c>
      <c r="BB171" s="6"/>
      <c r="BC171" s="6"/>
      <c r="BD171" s="178">
        <f t="shared" si="235"/>
        <v>1.6926575775676995</v>
      </c>
      <c r="BE171" s="178">
        <f t="shared" si="236"/>
        <v>1.4508493522008854</v>
      </c>
      <c r="BF171" s="178">
        <f t="shared" si="237"/>
        <v>0.90678084512555324</v>
      </c>
      <c r="BG171" s="178"/>
      <c r="BH171" s="543">
        <f t="shared" si="238"/>
        <v>0.31515986423870884</v>
      </c>
      <c r="BI171" s="543">
        <f t="shared" si="239"/>
        <v>7.8750000000000001E-2</v>
      </c>
      <c r="BJ171" s="543">
        <f t="shared" si="240"/>
        <v>9.5973308839892302E-3</v>
      </c>
      <c r="BK171" s="543">
        <f t="shared" si="241"/>
        <v>1.9502076272856241E-2</v>
      </c>
      <c r="BL171">
        <f t="shared" si="242"/>
        <v>2.6099999999999999E-3</v>
      </c>
      <c r="BM171" s="470">
        <f t="shared" si="243"/>
        <v>425.61927139555428</v>
      </c>
      <c r="BN171" s="178">
        <f t="shared" si="244"/>
        <v>0.19520000000000001</v>
      </c>
      <c r="BO171" s="178">
        <f t="shared" si="245"/>
        <v>0.122</v>
      </c>
      <c r="BP171" s="543"/>
      <c r="BR171" s="470">
        <f t="shared" si="246"/>
        <v>317.20000000000005</v>
      </c>
      <c r="BS171" s="543">
        <f t="shared" si="247"/>
        <v>0.11460358699589412</v>
      </c>
      <c r="BT171" s="543">
        <f t="shared" si="248"/>
        <v>8.4198553711269164E-2</v>
      </c>
      <c r="BU171" s="543">
        <f t="shared" si="249"/>
        <v>2.4667545032598378E-2</v>
      </c>
      <c r="BV171" s="543">
        <f t="shared" si="250"/>
        <v>0</v>
      </c>
      <c r="BW171" s="648">
        <f t="shared" si="231"/>
        <v>0.10732330827067672</v>
      </c>
      <c r="BX171" s="470">
        <f t="shared" si="251"/>
        <v>330.79299401043841</v>
      </c>
      <c r="BY171" s="178">
        <f t="shared" si="252"/>
        <v>1.0736122654059927</v>
      </c>
      <c r="BZ171" s="6">
        <f t="shared" si="253"/>
        <v>9.516</v>
      </c>
      <c r="CA171" s="178">
        <f t="shared" si="254"/>
        <v>0.89861647069805795</v>
      </c>
      <c r="CB171" s="6">
        <f t="shared" si="255"/>
        <v>89.861647069805798</v>
      </c>
      <c r="CC171">
        <f t="shared" si="256"/>
        <v>61</v>
      </c>
      <c r="CE171" s="577">
        <f t="shared" si="232"/>
        <v>-50</v>
      </c>
      <c r="CF171">
        <f t="shared" si="233"/>
        <v>-50</v>
      </c>
    </row>
    <row r="172" spans="5:84" x14ac:dyDescent="0.2">
      <c r="E172" s="175">
        <v>62</v>
      </c>
      <c r="F172" s="222">
        <f t="shared" si="234"/>
        <v>0.496</v>
      </c>
      <c r="G172" s="222">
        <f t="shared" si="215"/>
        <v>0.31</v>
      </c>
      <c r="H172" s="222">
        <f t="shared" si="216"/>
        <v>5.952</v>
      </c>
      <c r="I172" s="222">
        <f t="shared" si="217"/>
        <v>3.7199999999999998</v>
      </c>
      <c r="J172" s="556">
        <f t="shared" si="155"/>
        <v>9</v>
      </c>
      <c r="K172" s="452">
        <f t="shared" si="156"/>
        <v>12.25</v>
      </c>
      <c r="L172" s="452">
        <f t="shared" si="157"/>
        <v>21.25</v>
      </c>
      <c r="M172" s="452"/>
      <c r="N172" s="222">
        <f t="shared" si="158"/>
        <v>0.57647058823529407</v>
      </c>
      <c r="O172" s="177">
        <f t="shared" si="218"/>
        <v>6.2179004524886858</v>
      </c>
      <c r="P172" s="177">
        <f t="shared" si="219"/>
        <v>6.3150551470588203</v>
      </c>
      <c r="Q172" s="222">
        <f t="shared" si="161"/>
        <v>0.51815837104072382</v>
      </c>
      <c r="R172" s="222">
        <f t="shared" si="220"/>
        <v>0.51815837104072382</v>
      </c>
      <c r="S172" s="222">
        <f t="shared" si="221"/>
        <v>12</v>
      </c>
      <c r="T172" s="222">
        <f t="shared" si="222"/>
        <v>3.92466881489438</v>
      </c>
      <c r="U172" s="222">
        <f t="shared" si="165"/>
        <v>3.0525201893622955</v>
      </c>
      <c r="V172" s="222">
        <f t="shared" si="166"/>
        <v>2.2426678942253599</v>
      </c>
      <c r="W172" s="202">
        <f t="shared" si="167"/>
        <v>350</v>
      </c>
      <c r="X172" s="452">
        <f t="shared" si="168"/>
        <v>188.85070449140096</v>
      </c>
      <c r="Z172" s="222">
        <f t="shared" si="169"/>
        <v>2.1176470588235294</v>
      </c>
      <c r="AA172" s="178">
        <f t="shared" si="170"/>
        <v>1.2100840336134453</v>
      </c>
      <c r="AB172" s="178">
        <f t="shared" si="223"/>
        <v>0.27596486558424271</v>
      </c>
      <c r="AC172" s="178"/>
      <c r="AD172" s="178">
        <f t="shared" si="172"/>
        <v>0.46857142857142853</v>
      </c>
      <c r="AE172" s="560">
        <f t="shared" si="224"/>
        <v>2581.7965496728143</v>
      </c>
      <c r="AF172" s="543">
        <f t="shared" si="225"/>
        <v>6.723999999999998E-2</v>
      </c>
      <c r="AH172" s="178">
        <f t="shared" si="226"/>
        <v>2.8098950521472563</v>
      </c>
      <c r="AI172" s="178">
        <f t="shared" si="227"/>
        <v>3.92466881489438</v>
      </c>
      <c r="AJ172" s="178">
        <f t="shared" si="228"/>
        <v>3.4997546776995403</v>
      </c>
      <c r="AL172" s="560">
        <f t="shared" si="229"/>
        <v>496</v>
      </c>
      <c r="AM172" s="470">
        <f t="shared" si="230"/>
        <v>188.85070449140096</v>
      </c>
      <c r="AO172">
        <f t="shared" si="180"/>
        <v>496</v>
      </c>
      <c r="AP172">
        <f t="shared" si="181"/>
        <v>188.85070449140096</v>
      </c>
      <c r="AR172" s="6">
        <f t="shared" si="214"/>
        <v>5.2951880835876555</v>
      </c>
      <c r="AS172" s="6">
        <f t="shared" si="211"/>
        <v>3.0525201893622955</v>
      </c>
      <c r="AT172" s="6">
        <f t="shared" si="212"/>
        <v>2.2426678942253599</v>
      </c>
      <c r="AU172" s="178">
        <f t="shared" si="213"/>
        <v>0.57647058823529407</v>
      </c>
      <c r="AW172" s="6">
        <f>L*Iout^2/(2*Vripple1_spec*Vout*Npri_sec1^2)*1000000000*((1+N172)/(1-N172))^2</f>
        <v>21.552126200274348</v>
      </c>
      <c r="AX172" s="6">
        <f>L*F172^2/(2*Cout*Vout*Nps^2)*1000000000*((1+N172)/(1-N172))^2+F172*RCoutEsr</f>
        <v>22.640265475877765</v>
      </c>
      <c r="AY172" s="6">
        <f>L*Iout2^2/(2*Vout_ripple2*Vout2*Npri_sec2^2)*1000000000*((1+N172)/(1-N172))^2</f>
        <v>8.4187992969821668</v>
      </c>
      <c r="AZ172" s="6">
        <f>L*G172^2/(2*Cout2*Vout2*Npri_sec2^2)*1000000000*((1+N172)/(1-N172))^2+G172*CoutEsr2</f>
        <v>9.1926037015147521</v>
      </c>
      <c r="BA172" s="6">
        <f>(H172+I172)/Efficiency/J172*AT172/Vinripple1</f>
        <v>3.7584724059688424</v>
      </c>
      <c r="BB172" s="6"/>
      <c r="BC172" s="6"/>
      <c r="BD172" s="178">
        <f t="shared" si="235"/>
        <v>1.7204060624458588</v>
      </c>
      <c r="BE172" s="178">
        <f t="shared" si="236"/>
        <v>1.4746337678107362</v>
      </c>
      <c r="BF172" s="178">
        <f t="shared" si="237"/>
        <v>0.92164610488170995</v>
      </c>
      <c r="BG172" s="178"/>
      <c r="BH172" s="543">
        <f t="shared" si="238"/>
        <v>0.32557767216705108</v>
      </c>
      <c r="BI172" s="543">
        <f t="shared" si="239"/>
        <v>7.8750000000000001E-2</v>
      </c>
      <c r="BJ172" s="543">
        <f t="shared" si="240"/>
        <v>9.4425352245700485E-3</v>
      </c>
      <c r="BK172" s="543">
        <f t="shared" si="241"/>
        <v>1.9187526655552106E-2</v>
      </c>
      <c r="BL172">
        <f t="shared" si="242"/>
        <v>2.6099999999999999E-3</v>
      </c>
      <c r="BM172" s="470">
        <f t="shared" si="243"/>
        <v>435.56773404717325</v>
      </c>
      <c r="BN172" s="178">
        <f t="shared" si="244"/>
        <v>0.19840000000000002</v>
      </c>
      <c r="BO172" s="178">
        <f t="shared" si="245"/>
        <v>0.124</v>
      </c>
      <c r="BP172" s="543"/>
      <c r="BR172" s="470">
        <f t="shared" si="246"/>
        <v>322.40000000000003</v>
      </c>
      <c r="BS172" s="543">
        <f t="shared" si="247"/>
        <v>0.11839188078801857</v>
      </c>
      <c r="BT172" s="543">
        <f t="shared" si="248"/>
        <v>8.6981789966707537E-2</v>
      </c>
      <c r="BU172" s="543">
        <f t="shared" si="249"/>
        <v>2.5482946279308836E-2</v>
      </c>
      <c r="BV172" s="543">
        <f t="shared" si="250"/>
        <v>0</v>
      </c>
      <c r="BW172" s="648">
        <f t="shared" si="231"/>
        <v>0.10908270676691735</v>
      </c>
      <c r="BX172" s="470">
        <f t="shared" si="251"/>
        <v>339.93932380095231</v>
      </c>
      <c r="BY172" s="178">
        <f t="shared" si="252"/>
        <v>1.0979070578481256</v>
      </c>
      <c r="BZ172" s="6">
        <f t="shared" si="253"/>
        <v>9.6720000000000006</v>
      </c>
      <c r="CA172" s="178">
        <f t="shared" si="254"/>
        <v>0.89805788926952057</v>
      </c>
      <c r="CB172" s="6">
        <f t="shared" si="255"/>
        <v>89.805788926952062</v>
      </c>
      <c r="CC172">
        <f t="shared" si="256"/>
        <v>62</v>
      </c>
      <c r="CE172" s="577">
        <f t="shared" si="232"/>
        <v>-50</v>
      </c>
      <c r="CF172">
        <f t="shared" si="233"/>
        <v>-50</v>
      </c>
    </row>
    <row r="173" spans="5:84" x14ac:dyDescent="0.2">
      <c r="E173" s="175">
        <v>63</v>
      </c>
      <c r="F173" s="222">
        <f t="shared" si="234"/>
        <v>0.504</v>
      </c>
      <c r="G173" s="222">
        <f t="shared" si="215"/>
        <v>0.315</v>
      </c>
      <c r="H173" s="222">
        <f t="shared" si="216"/>
        <v>6.048</v>
      </c>
      <c r="I173" s="222">
        <f t="shared" si="217"/>
        <v>3.7800000000000002</v>
      </c>
      <c r="J173" s="556">
        <f t="shared" si="155"/>
        <v>9</v>
      </c>
      <c r="K173" s="452">
        <f t="shared" si="156"/>
        <v>12.25</v>
      </c>
      <c r="L173" s="452">
        <f t="shared" si="157"/>
        <v>21.25</v>
      </c>
      <c r="M173" s="452"/>
      <c r="N173" s="222">
        <f t="shared" si="158"/>
        <v>0.57647058823529407</v>
      </c>
      <c r="O173" s="177">
        <f t="shared" si="218"/>
        <v>6.2179004524886858</v>
      </c>
      <c r="P173" s="177">
        <f t="shared" si="219"/>
        <v>6.3150551470588203</v>
      </c>
      <c r="Q173" s="222">
        <f t="shared" si="161"/>
        <v>0.51815837104072382</v>
      </c>
      <c r="R173" s="222">
        <f t="shared" si="220"/>
        <v>0.51815837104072382</v>
      </c>
      <c r="S173" s="222">
        <f t="shared" si="221"/>
        <v>12</v>
      </c>
      <c r="T173" s="222">
        <f t="shared" si="222"/>
        <v>3.9879699248120306</v>
      </c>
      <c r="U173" s="222">
        <f t="shared" si="165"/>
        <v>3.1017543859649126</v>
      </c>
      <c r="V173" s="222">
        <f t="shared" si="166"/>
        <v>2.2788399570354461</v>
      </c>
      <c r="W173" s="202">
        <f t="shared" si="167"/>
        <v>350</v>
      </c>
      <c r="X173" s="452">
        <f t="shared" si="168"/>
        <v>185.85307426137874</v>
      </c>
      <c r="Z173" s="222">
        <f t="shared" si="169"/>
        <v>2.1176470588235294</v>
      </c>
      <c r="AA173" s="178">
        <f t="shared" si="170"/>
        <v>1.2100840336134453</v>
      </c>
      <c r="AB173" s="178">
        <f t="shared" si="223"/>
        <v>0.27596486558424271</v>
      </c>
      <c r="AC173" s="178"/>
      <c r="AD173" s="178">
        <f t="shared" si="172"/>
        <v>0.46857142857142853</v>
      </c>
      <c r="AE173" s="560">
        <f t="shared" si="224"/>
        <v>2623.4384295062468</v>
      </c>
      <c r="AF173" s="543">
        <f t="shared" si="225"/>
        <v>6.723999999999998E-2</v>
      </c>
      <c r="AH173" s="178">
        <f t="shared" si="226"/>
        <v>2.8324648528899949</v>
      </c>
      <c r="AI173" s="178">
        <f t="shared" si="227"/>
        <v>3.9879699248120306</v>
      </c>
      <c r="AJ173" s="178">
        <f t="shared" si="228"/>
        <v>3.5466443887496526</v>
      </c>
      <c r="AL173" s="560">
        <f t="shared" si="229"/>
        <v>504</v>
      </c>
      <c r="AM173" s="470">
        <f t="shared" si="230"/>
        <v>185.85307426137874</v>
      </c>
      <c r="AO173">
        <f t="shared" si="180"/>
        <v>504</v>
      </c>
      <c r="AP173">
        <f t="shared" si="181"/>
        <v>185.85307426137874</v>
      </c>
      <c r="AR173" s="6">
        <f t="shared" si="214"/>
        <v>5.3805943430003591</v>
      </c>
      <c r="AS173" s="6">
        <f t="shared" si="211"/>
        <v>3.1017543859649126</v>
      </c>
      <c r="AT173" s="6">
        <f t="shared" si="212"/>
        <v>2.2788399570354465</v>
      </c>
      <c r="AU173" s="178">
        <f t="shared" si="213"/>
        <v>0.57647058823529407</v>
      </c>
      <c r="AW173" s="6">
        <f>L*Iout^2/(2*Vripple1_spec*Vout*Npri_sec1^2)*1000000000*((1+N173)/(1-N173))^2</f>
        <v>21.552126200274348</v>
      </c>
      <c r="AX173" s="6">
        <f>L*F173^2/(2*Cout*Vout*Nps^2)*1000000000*((1+N173)/(1-N173))^2+F173*RCoutEsr</f>
        <v>23.352099290780142</v>
      </c>
      <c r="AY173" s="6">
        <f>L*Iout2^2/(2*Vout_ripple2*Vout2*Npri_sec2^2)*1000000000*((1+N173)/(1-N173))^2</f>
        <v>8.4187992969821668</v>
      </c>
      <c r="AZ173" s="6">
        <f>L*G173^2/(2*Cout2*Vout2*Npri_sec2^2)*1000000000*((1+N173)/(1-N173))^2+G173*CoutEsr2</f>
        <v>9.4762887854609907</v>
      </c>
      <c r="BA173" s="6">
        <f>(H173+I173)/Efficiency/J173*AT173/Vinripple1</f>
        <v>3.8806912016884323</v>
      </c>
      <c r="BB173" s="6"/>
      <c r="BC173" s="6"/>
      <c r="BD173" s="178">
        <f t="shared" si="235"/>
        <v>1.7481545473240174</v>
      </c>
      <c r="BE173" s="178">
        <f t="shared" si="236"/>
        <v>1.4984181834205865</v>
      </c>
      <c r="BF173" s="178">
        <f t="shared" si="237"/>
        <v>0.93651136463786644</v>
      </c>
      <c r="BG173" s="178"/>
      <c r="BH173" s="543">
        <f t="shared" si="238"/>
        <v>0.33616487534626044</v>
      </c>
      <c r="BI173" s="543">
        <f t="shared" si="239"/>
        <v>7.8750000000000001E-2</v>
      </c>
      <c r="BJ173" s="543">
        <f t="shared" si="240"/>
        <v>9.2926537130689369E-3</v>
      </c>
      <c r="BK173" s="543">
        <f t="shared" si="241"/>
        <v>1.8882962740384611E-2</v>
      </c>
      <c r="BL173">
        <f t="shared" si="242"/>
        <v>2.6099999999999999E-3</v>
      </c>
      <c r="BM173" s="470">
        <f t="shared" si="243"/>
        <v>445.70049179971392</v>
      </c>
      <c r="BN173" s="178">
        <f t="shared" si="244"/>
        <v>0.2016</v>
      </c>
      <c r="BO173" s="178">
        <f t="shared" si="245"/>
        <v>0.126</v>
      </c>
      <c r="BP173" s="543"/>
      <c r="BR173" s="470">
        <f t="shared" si="246"/>
        <v>327.60000000000002</v>
      </c>
      <c r="BS173" s="543">
        <f t="shared" si="247"/>
        <v>0.12224177285318562</v>
      </c>
      <c r="BT173" s="543">
        <f t="shared" si="248"/>
        <v>8.9810282096218011E-2</v>
      </c>
      <c r="BU173" s="543">
        <f t="shared" si="249"/>
        <v>2.6311606082876367E-2</v>
      </c>
      <c r="BV173" s="543">
        <f t="shared" si="250"/>
        <v>0</v>
      </c>
      <c r="BW173" s="648">
        <f t="shared" si="231"/>
        <v>0.11084210526315792</v>
      </c>
      <c r="BX173" s="470">
        <f t="shared" si="251"/>
        <v>349.20576629543791</v>
      </c>
      <c r="BY173" s="178">
        <f t="shared" si="252"/>
        <v>1.1225062580951517</v>
      </c>
      <c r="BZ173" s="6">
        <f t="shared" si="253"/>
        <v>9.8279999999999994</v>
      </c>
      <c r="CA173" s="178">
        <f t="shared" si="254"/>
        <v>0.89749275224007652</v>
      </c>
      <c r="CB173" s="6">
        <f t="shared" si="255"/>
        <v>89.749275224007647</v>
      </c>
      <c r="CC173">
        <f t="shared" si="256"/>
        <v>63</v>
      </c>
      <c r="CE173" s="577">
        <f t="shared" si="232"/>
        <v>-50</v>
      </c>
      <c r="CF173">
        <f t="shared" si="233"/>
        <v>-50</v>
      </c>
    </row>
    <row r="174" spans="5:84" x14ac:dyDescent="0.2">
      <c r="E174" s="175">
        <v>64</v>
      </c>
      <c r="F174" s="222">
        <f t="shared" si="234"/>
        <v>0.51200000000000001</v>
      </c>
      <c r="G174" s="222">
        <f t="shared" ref="G174:G210" si="257">IF(PLOT_TYPE=1, E174/100*Iout2, min_I*EXP(Q174*rr/100))</f>
        <v>0.32</v>
      </c>
      <c r="H174" s="222">
        <f t="shared" ref="H174:H210" si="258">F174*Vout</f>
        <v>6.1440000000000001</v>
      </c>
      <c r="I174" s="222">
        <f t="shared" ref="I174:I210" si="259">Vout2*G174</f>
        <v>3.84</v>
      </c>
      <c r="J174" s="556">
        <f t="shared" ref="J174:J210" si="260">VIN_min</f>
        <v>9</v>
      </c>
      <c r="K174" s="452">
        <f t="shared" ref="K174:K210" si="261">(S174+Vfwd1)*Nps</f>
        <v>12.25</v>
      </c>
      <c r="L174" s="452">
        <f t="shared" ref="L174:L210" si="262">(Vout+Vfwd1)*Nps+J174</f>
        <v>21.25</v>
      </c>
      <c r="M174" s="452"/>
      <c r="N174" s="222">
        <f t="shared" ref="N174:N210" si="263">(Vout+Vfwd1)*Nps/((Vout+Vfwd1)*Nps+J174)</f>
        <v>0.57647058823529407</v>
      </c>
      <c r="O174" s="177">
        <f t="shared" ref="O174:O205" si="264">N174*J174*Isw_max*0.5*Efficiency*Pout/(Pout+Pout2)</f>
        <v>6.2179004524886858</v>
      </c>
      <c r="P174" s="177">
        <f t="shared" ref="P174:P210" si="265">N174*J174*Isw_max*0.5*Efficiency*(Pout2/Pout_total)</f>
        <v>6.3150551470588203</v>
      </c>
      <c r="Q174" s="222">
        <f t="shared" ref="Q174:Q210" si="266">O174/Vout</f>
        <v>0.51815837104072382</v>
      </c>
      <c r="R174" s="222">
        <f t="shared" ref="R174:R210" si="267">O174/Vout2</f>
        <v>0.51815837104072382</v>
      </c>
      <c r="S174" s="222">
        <f t="shared" ref="S174:S210" si="268">MIN(Vout,O174/F174)</f>
        <v>12</v>
      </c>
      <c r="T174" s="222">
        <f t="shared" ref="T174:T210" si="269">MIN(2*(Vout*F174+Vout2*G174)/(Efficiency*J174*N174), Isw_max)</f>
        <v>4.0512710347296821</v>
      </c>
      <c r="U174" s="222">
        <f t="shared" ref="U174:U210" si="270">L*T174/J174*1000000</f>
        <v>3.1509885825675306</v>
      </c>
      <c r="V174" s="222">
        <f t="shared" ref="V174:V210" si="271">L*T174/K174*1000000</f>
        <v>2.3150120198455326</v>
      </c>
      <c r="W174" s="202">
        <f t="shared" ref="W174:W210" si="272">IF(1/((350000*L)*(1/J174+1/K174))&gt;Isw_min, 350, 0.001/((Isw_min*L)*(1/J174+1/K174)))</f>
        <v>350</v>
      </c>
      <c r="X174" s="452">
        <f t="shared" ref="X174:X210" si="273">MIN(1/(U174+V174)*1000, 350)</f>
        <v>182.94911997604467</v>
      </c>
      <c r="Z174" s="222">
        <f t="shared" ref="Z174:Z210" si="274">1/((W174*1000*L)*(1/J174+1/K174))</f>
        <v>2.1176470588235294</v>
      </c>
      <c r="AA174" s="178">
        <f t="shared" ref="AA174:AA210" si="275">L*Z174/K174*1000000</f>
        <v>1.2100840336134453</v>
      </c>
      <c r="AB174" s="178">
        <f t="shared" ref="AB174:AB205" si="276">0.5*AA174*Z174*Nps*W174/1000*(Pout/(Pout+Pout2))</f>
        <v>0.27596486558424271</v>
      </c>
      <c r="AC174" s="178"/>
      <c r="AD174" s="178">
        <f t="shared" ref="AD174:AD210" si="277">L*Isw_min/K174*1000000</f>
        <v>0.46857142857142853</v>
      </c>
      <c r="AE174" s="560">
        <f t="shared" ref="AE174:AE205" si="278">MAX(10, F174/(0.5*AD174/1000000*Isw_min*Nps)/1000*Pout_total/Pout)</f>
        <v>2665.0803093396794</v>
      </c>
      <c r="AF174" s="543">
        <f t="shared" ref="AF174:AF210" si="279">0.5*AD174/1000000*Isw_min*Nps*W174*1000*(Pout/Pout_total)</f>
        <v>6.723999999999998E-2</v>
      </c>
      <c r="AH174" s="178">
        <f t="shared" ref="AH174:AH210" si="280">SQRT((H174+I174)/(0.5*L*Fsw_DCM))</f>
        <v>2.8548562278392677</v>
      </c>
      <c r="AI174" s="178">
        <f t="shared" ref="AI174:AI205" si="281">MAX(IF(F174&gt;AB174,T174,AH174),Isw_min)</f>
        <v>4.0512710347296821</v>
      </c>
      <c r="AJ174" s="178">
        <f t="shared" ref="AJ174:AJ205" si="282">IF(F174&gt;AF174, (AI174-Isw_min)/1.08*0.8+1.2, AE174*0.2/350+1)</f>
        <v>3.5935340997997649</v>
      </c>
      <c r="AL174" s="560">
        <f t="shared" ref="AL174:AL210" si="283">F174*1000</f>
        <v>512</v>
      </c>
      <c r="AM174" s="470">
        <f t="shared" ref="AM174:AM210" si="284">IF(F174&gt;AF174, X174, AE174)</f>
        <v>182.94911997604467</v>
      </c>
      <c r="AO174">
        <f t="shared" ref="AO174:AO210" si="285">IF(H174&gt;O174, "",AL174)</f>
        <v>512</v>
      </c>
      <c r="AP174">
        <f t="shared" ref="AP174:AP210" si="286">IF(H174&gt;O174, "",AM174)</f>
        <v>182.94911997604467</v>
      </c>
      <c r="AR174" s="6">
        <f t="shared" si="214"/>
        <v>5.4660006024130636</v>
      </c>
      <c r="AS174" s="6">
        <f t="shared" si="211"/>
        <v>3.1509885825675306</v>
      </c>
      <c r="AT174" s="6">
        <f t="shared" si="212"/>
        <v>2.3150120198455331</v>
      </c>
      <c r="AU174" s="178">
        <f t="shared" si="213"/>
        <v>0.57647058823529407</v>
      </c>
      <c r="AW174" s="6">
        <f>L*Iout^2/(2*Vripple1_spec*Vout*Npri_sec1^2)*1000000000*((1+N174)/(1-N174))^2</f>
        <v>21.552126200274348</v>
      </c>
      <c r="AX174" s="6">
        <f>L*F174^2/(2*Cout*Vout*Nps^2)*1000000000*((1+N174)/(1-N174))^2+F174*RCoutEsr</f>
        <v>24.07493844672095</v>
      </c>
      <c r="AY174" s="6">
        <f>L*Iout2^2/(2*Vout_ripple2*Vout2*Npri_sec2^2)*1000000000*((1+N174)/(1-N174))^2</f>
        <v>8.4187992969821668</v>
      </c>
      <c r="AZ174" s="6">
        <f>L*G174^2/(2*Cout2*Vout2*Npri_sec2^2)*1000000000*((1+N174)/(1-N174))^2+G174*CoutEsr2</f>
        <v>9.7642728307503717</v>
      </c>
      <c r="BA174" s="6">
        <f>(H174+I174)/Efficiency/J174*AT174/Vinripple1</f>
        <v>4.0048654981395364</v>
      </c>
      <c r="BB174" s="6"/>
      <c r="BC174" s="6"/>
      <c r="BD174" s="178">
        <f t="shared" si="235"/>
        <v>1.7759030322021765</v>
      </c>
      <c r="BE174" s="178">
        <f t="shared" si="236"/>
        <v>1.5222025990304373</v>
      </c>
      <c r="BF174" s="178">
        <f t="shared" si="237"/>
        <v>0.95137662439402315</v>
      </c>
      <c r="BG174" s="178"/>
      <c r="BH174" s="543">
        <f t="shared" si="238"/>
        <v>0.34692147377633731</v>
      </c>
      <c r="BI174" s="543">
        <f t="shared" si="239"/>
        <v>7.8750000000000001E-2</v>
      </c>
      <c r="BJ174" s="543">
        <f t="shared" si="240"/>
        <v>9.1474559988022324E-3</v>
      </c>
      <c r="BK174" s="543">
        <f t="shared" si="241"/>
        <v>1.8587916447566098E-2</v>
      </c>
      <c r="BL174">
        <f t="shared" si="242"/>
        <v>2.6099999999999999E-3</v>
      </c>
      <c r="BM174" s="470">
        <f t="shared" si="243"/>
        <v>456.01684622270562</v>
      </c>
      <c r="BN174" s="178">
        <f t="shared" si="244"/>
        <v>0.20480000000000001</v>
      </c>
      <c r="BO174" s="178">
        <f t="shared" si="245"/>
        <v>0.128</v>
      </c>
      <c r="BP174" s="543"/>
      <c r="BR174" s="470">
        <f t="shared" si="246"/>
        <v>332.8</v>
      </c>
      <c r="BS174" s="543">
        <f t="shared" si="247"/>
        <v>0.12615326319139539</v>
      </c>
      <c r="BT174" s="543">
        <f t="shared" si="248"/>
        <v>9.2684030099800738E-2</v>
      </c>
      <c r="BU174" s="543">
        <f t="shared" si="249"/>
        <v>2.7153524443300985E-2</v>
      </c>
      <c r="BV174" s="543">
        <f t="shared" si="250"/>
        <v>0</v>
      </c>
      <c r="BW174" s="648">
        <f t="shared" ref="BW174:BW210" si="287">0.5*Lleak*0.000000001*AI174^2*AM174*1000</f>
        <v>0.11260150375939854</v>
      </c>
      <c r="BX174" s="470">
        <f t="shared" si="251"/>
        <v>358.59232149389561</v>
      </c>
      <c r="BY174" s="178">
        <f t="shared" si="252"/>
        <v>1.1474091677166014</v>
      </c>
      <c r="BZ174" s="6">
        <f t="shared" si="253"/>
        <v>9.984</v>
      </c>
      <c r="CA174" s="178">
        <f t="shared" si="254"/>
        <v>0.89692148133011529</v>
      </c>
      <c r="CB174" s="6">
        <f t="shared" si="255"/>
        <v>89.692148133011528</v>
      </c>
      <c r="CC174">
        <f t="shared" si="256"/>
        <v>64</v>
      </c>
      <c r="CE174" s="577">
        <f t="shared" ref="CE174:CE210" si="288">IF(ABS(F174-Ioutmax_Vinmin)&lt;Iout/200, AM174, -50)</f>
        <v>-50</v>
      </c>
      <c r="CF174">
        <f t="shared" ref="CF174:CF210" si="289">IF(ABS(F174-Ioutmax_Vinmin)&lt;Iout/200, (O174+P174)*CA174, -50)</f>
        <v>-50</v>
      </c>
    </row>
    <row r="175" spans="5:84" x14ac:dyDescent="0.2">
      <c r="E175" s="175">
        <v>65</v>
      </c>
      <c r="F175" s="222">
        <f t="shared" ref="F175:F206" si="290">IF(PLOT_TYPE=1, E175/100*Iout_max, min_I*EXP(O175*rr/100))</f>
        <v>0.52</v>
      </c>
      <c r="G175" s="222">
        <f t="shared" si="257"/>
        <v>0.32500000000000001</v>
      </c>
      <c r="H175" s="222">
        <f t="shared" si="258"/>
        <v>6.24</v>
      </c>
      <c r="I175" s="222">
        <f t="shared" si="259"/>
        <v>3.9000000000000004</v>
      </c>
      <c r="J175" s="556">
        <f t="shared" si="260"/>
        <v>9</v>
      </c>
      <c r="K175" s="452">
        <f t="shared" si="261"/>
        <v>12.207500870170549</v>
      </c>
      <c r="L175" s="452">
        <f t="shared" si="262"/>
        <v>21.25</v>
      </c>
      <c r="M175" s="452"/>
      <c r="N175" s="222">
        <f t="shared" si="263"/>
        <v>0.57647058823529407</v>
      </c>
      <c r="O175" s="177">
        <f t="shared" si="264"/>
        <v>6.2179004524886858</v>
      </c>
      <c r="P175" s="177">
        <f t="shared" si="265"/>
        <v>6.3150551470588203</v>
      </c>
      <c r="Q175" s="222">
        <f t="shared" si="266"/>
        <v>0.51815837104072382</v>
      </c>
      <c r="R175" s="222">
        <f t="shared" si="267"/>
        <v>0.51815837104072382</v>
      </c>
      <c r="S175" s="222">
        <f t="shared" si="268"/>
        <v>11.957500870170549</v>
      </c>
      <c r="T175" s="222">
        <f t="shared" si="269"/>
        <v>4.0999999999999996</v>
      </c>
      <c r="U175" s="222">
        <f t="shared" si="270"/>
        <v>3.1888888888888887</v>
      </c>
      <c r="V175" s="222">
        <f t="shared" si="271"/>
        <v>2.3510135534890226</v>
      </c>
      <c r="W175" s="202">
        <f t="shared" si="272"/>
        <v>350</v>
      </c>
      <c r="X175" s="452">
        <f t="shared" si="273"/>
        <v>180.50859386086347</v>
      </c>
      <c r="Z175" s="222">
        <f t="shared" si="274"/>
        <v>2.1145292423701147</v>
      </c>
      <c r="AA175" s="178">
        <f t="shared" si="275"/>
        <v>1.2125090019661009</v>
      </c>
      <c r="AB175" s="178">
        <f t="shared" si="276"/>
        <v>0.27611077213938867</v>
      </c>
      <c r="AC175" s="178"/>
      <c r="AD175" s="178">
        <f t="shared" si="277"/>
        <v>0.47020271069780456</v>
      </c>
      <c r="AE175" s="560">
        <f t="shared" si="278"/>
        <v>2697.3317126237303</v>
      </c>
      <c r="AF175" s="543">
        <f t="shared" si="279"/>
        <v>6.7474088985134947E-2</v>
      </c>
      <c r="AH175" s="178">
        <f t="shared" si="280"/>
        <v>2.8770733428969382</v>
      </c>
      <c r="AI175" s="178">
        <f t="shared" si="281"/>
        <v>4.0999999999999996</v>
      </c>
      <c r="AJ175" s="178">
        <f t="shared" si="282"/>
        <v>3.6296296296296298</v>
      </c>
      <c r="AL175" s="560">
        <f t="shared" si="283"/>
        <v>520</v>
      </c>
      <c r="AM175" s="470">
        <f t="shared" si="284"/>
        <v>180.50859386086347</v>
      </c>
      <c r="AO175" t="str">
        <f t="shared" si="285"/>
        <v/>
      </c>
      <c r="AP175" t="str">
        <f t="shared" si="286"/>
        <v/>
      </c>
      <c r="AR175" s="6">
        <f t="shared" si="214"/>
        <v>5.5399024423779117</v>
      </c>
      <c r="AS175" s="6">
        <f t="shared" si="211"/>
        <v>3.1888888888888887</v>
      </c>
      <c r="AT175" s="6">
        <f t="shared" si="212"/>
        <v>2.3510135534890231</v>
      </c>
      <c r="AU175" s="178">
        <f t="shared" si="213"/>
        <v>0.57562184931186455</v>
      </c>
      <c r="AW175" s="6">
        <f>L*Iout^2/(2*Vripple1_spec*Vout*Npri_sec1^2)*1000000000*((1+N175)/(1-N175))^2</f>
        <v>21.552126200274348</v>
      </c>
      <c r="AX175" s="6">
        <f>L*F175^2/(2*Cout*Vout*Nps^2)*1000000000*((1+N175)/(1-N175))^2+F175*RCoutEsr</f>
        <v>24.808782943700198</v>
      </c>
      <c r="AY175" s="6">
        <f>L*Iout2^2/(2*Vout_ripple2*Vout2*Npri_sec2^2)*1000000000*((1+N175)/(1-N175))^2</f>
        <v>8.4187992969821668</v>
      </c>
      <c r="AZ175" s="6">
        <f>L*G175^2/(2*Cout2*Vout2*Npri_sec2^2)*1000000000*((1+N175)/(1-N175))^2+G175*CoutEsr2</f>
        <v>10.05655583738289</v>
      </c>
      <c r="BA175" s="6">
        <f>(H175+I175)/Efficiency/J175*AT175/Vinripple1</f>
        <v>4.1306956781249635</v>
      </c>
      <c r="BB175" s="6"/>
      <c r="BC175" s="6"/>
      <c r="BD175" s="178">
        <f t="shared" si="235"/>
        <v>1.795940170396594</v>
      </c>
      <c r="BE175" s="178">
        <f t="shared" si="236"/>
        <v>1.5420545508149786</v>
      </c>
      <c r="BF175" s="178">
        <f t="shared" si="237"/>
        <v>0.9637840942593614</v>
      </c>
      <c r="BG175" s="178"/>
      <c r="BH175" s="543">
        <f t="shared" si="238"/>
        <v>0.35479412052085618</v>
      </c>
      <c r="BI175" s="543">
        <f t="shared" si="239"/>
        <v>7.8634056200638638E-2</v>
      </c>
      <c r="BJ175" s="543">
        <f t="shared" si="240"/>
        <v>9.0254296930431729E-3</v>
      </c>
      <c r="BK175" s="543">
        <f t="shared" si="241"/>
        <v>1.8339955180941638E-2</v>
      </c>
      <c r="BL175">
        <f t="shared" si="242"/>
        <v>2.6099999999999999E-3</v>
      </c>
      <c r="BM175" s="470">
        <f t="shared" si="243"/>
        <v>463.40356159547957</v>
      </c>
      <c r="BN175" s="178">
        <f t="shared" si="244"/>
        <v>0.20800000000000002</v>
      </c>
      <c r="BO175" s="178">
        <f t="shared" si="245"/>
        <v>0.13</v>
      </c>
      <c r="BP175" s="543"/>
      <c r="BR175" s="470">
        <f t="shared" si="246"/>
        <v>338</v>
      </c>
      <c r="BS175" s="543">
        <f t="shared" si="247"/>
        <v>0.12901604382576587</v>
      </c>
      <c r="BT175" s="543">
        <f t="shared" si="248"/>
        <v>9.5117289507567412E-2</v>
      </c>
      <c r="BU175" s="543">
        <f t="shared" si="249"/>
        <v>2.7866393410420128E-2</v>
      </c>
      <c r="BV175" s="543">
        <f t="shared" si="250"/>
        <v>0</v>
      </c>
      <c r="BW175" s="648">
        <f t="shared" si="287"/>
        <v>0.11378810485504182</v>
      </c>
      <c r="BX175" s="470">
        <f t="shared" si="251"/>
        <v>365.78783159879526</v>
      </c>
      <c r="BY175" s="178">
        <f t="shared" si="252"/>
        <v>1.1671913931942748</v>
      </c>
      <c r="BZ175" s="6">
        <f t="shared" si="253"/>
        <v>10.14</v>
      </c>
      <c r="CA175" s="178">
        <f t="shared" si="254"/>
        <v>0.89677441969393046</v>
      </c>
      <c r="CB175" s="6">
        <f t="shared" si="255"/>
        <v>89.677441969393044</v>
      </c>
      <c r="CC175">
        <f t="shared" si="256"/>
        <v>65</v>
      </c>
      <c r="CE175" s="577">
        <f t="shared" si="288"/>
        <v>180.50859386086347</v>
      </c>
      <c r="CF175">
        <f t="shared" si="289"/>
        <v>11.23923398483401</v>
      </c>
    </row>
    <row r="176" spans="5:84" x14ac:dyDescent="0.2">
      <c r="E176" s="175">
        <v>66</v>
      </c>
      <c r="F176" s="222">
        <f t="shared" si="290"/>
        <v>0.52800000000000002</v>
      </c>
      <c r="G176" s="222">
        <f t="shared" si="257"/>
        <v>0.33</v>
      </c>
      <c r="H176" s="222">
        <f t="shared" si="258"/>
        <v>6.3360000000000003</v>
      </c>
      <c r="I176" s="222">
        <f t="shared" si="259"/>
        <v>3.96</v>
      </c>
      <c r="J176" s="556">
        <f t="shared" si="260"/>
        <v>9</v>
      </c>
      <c r="K176" s="452">
        <f t="shared" si="261"/>
        <v>12.026326614561905</v>
      </c>
      <c r="L176" s="452">
        <f t="shared" si="262"/>
        <v>21.25</v>
      </c>
      <c r="M176" s="452"/>
      <c r="N176" s="222">
        <f t="shared" si="263"/>
        <v>0.57647058823529407</v>
      </c>
      <c r="O176" s="177">
        <f t="shared" si="264"/>
        <v>6.2179004524886858</v>
      </c>
      <c r="P176" s="177">
        <f t="shared" si="265"/>
        <v>6.3150551470588203</v>
      </c>
      <c r="Q176" s="222">
        <f t="shared" si="266"/>
        <v>0.51815837104072382</v>
      </c>
      <c r="R176" s="222">
        <f t="shared" si="267"/>
        <v>0.51815837104072382</v>
      </c>
      <c r="S176" s="222">
        <f t="shared" si="268"/>
        <v>11.776326614561905</v>
      </c>
      <c r="T176" s="222">
        <f t="shared" si="269"/>
        <v>4.0999999999999996</v>
      </c>
      <c r="U176" s="222">
        <f t="shared" si="270"/>
        <v>3.1888888888888887</v>
      </c>
      <c r="V176" s="222">
        <f t="shared" si="271"/>
        <v>2.3864311123272683</v>
      </c>
      <c r="W176" s="202">
        <f t="shared" si="272"/>
        <v>350</v>
      </c>
      <c r="X176" s="452">
        <f t="shared" si="273"/>
        <v>179.36190205797473</v>
      </c>
      <c r="Z176" s="222">
        <f t="shared" si="274"/>
        <v>2.1010965669648467</v>
      </c>
      <c r="AA176" s="178">
        <f t="shared" si="275"/>
        <v>1.2229566383924204</v>
      </c>
      <c r="AB176" s="178">
        <f t="shared" si="276"/>
        <v>0.27672076863557371</v>
      </c>
      <c r="AC176" s="178"/>
      <c r="AD176" s="178">
        <f t="shared" si="277"/>
        <v>0.47728622246545366</v>
      </c>
      <c r="AE176" s="560">
        <f t="shared" si="278"/>
        <v>2698.1815469060452</v>
      </c>
      <c r="AF176" s="543">
        <f t="shared" si="279"/>
        <v>6.8490572923792598E-2</v>
      </c>
      <c r="AH176" s="178">
        <f t="shared" si="280"/>
        <v>2.8991202043350448</v>
      </c>
      <c r="AI176" s="178">
        <f t="shared" si="281"/>
        <v>4.0999999999999996</v>
      </c>
      <c r="AJ176" s="178">
        <f t="shared" si="282"/>
        <v>3.6296296296296298</v>
      </c>
      <c r="AL176" s="560">
        <f t="shared" si="283"/>
        <v>528</v>
      </c>
      <c r="AM176" s="470">
        <f t="shared" si="284"/>
        <v>179.36190205797473</v>
      </c>
      <c r="AO176" t="str">
        <f t="shared" si="285"/>
        <v/>
      </c>
      <c r="AP176" t="str">
        <f t="shared" si="286"/>
        <v/>
      </c>
      <c r="AR176" s="6">
        <f t="shared" si="214"/>
        <v>5.5753200012161575</v>
      </c>
      <c r="AS176" s="6">
        <f t="shared" si="211"/>
        <v>3.1888888888888887</v>
      </c>
      <c r="AT176" s="6">
        <f t="shared" si="212"/>
        <v>2.3864311123272688</v>
      </c>
      <c r="AU176" s="178">
        <f t="shared" si="213"/>
        <v>0.57196517656265267</v>
      </c>
      <c r="AW176" s="6">
        <f>L*Iout^2/(2*Vripple1_spec*Vout*Npri_sec1^2)*1000000000*((1+N176)/(1-N176))^2</f>
        <v>21.552126200274348</v>
      </c>
      <c r="AX176" s="6">
        <f>L*F176^2/(2*Cout*Vout*Nps^2)*1000000000*((1+N176)/(1-N176))^2+F176*RCoutEsr</f>
        <v>25.553632781717891</v>
      </c>
      <c r="AY176" s="6">
        <f>L*Iout2^2/(2*Vout_ripple2*Vout2*Npri_sec2^2)*1000000000*((1+N176)/(1-N176))^2</f>
        <v>8.4187992969821668</v>
      </c>
      <c r="AZ176" s="6">
        <f>L*G176^2/(2*Cout2*Vout2*Npri_sec2^2)*1000000000*((1+N176)/(1-N176))^2+G176*CoutEsr2</f>
        <v>10.35313780535855</v>
      </c>
      <c r="BA176" s="6">
        <f>(H176+I176)/Efficiency/J176*AT176/Vinripple1</f>
        <v>4.2574303196918457</v>
      </c>
      <c r="BB176" s="6"/>
      <c r="BC176" s="6"/>
      <c r="BD176" s="178">
        <f t="shared" si="235"/>
        <v>1.790226672614224</v>
      </c>
      <c r="BE176" s="178">
        <f t="shared" si="236"/>
        <v>1.5486838909196206</v>
      </c>
      <c r="BF176" s="178">
        <f t="shared" si="237"/>
        <v>0.96792743182476271</v>
      </c>
      <c r="BG176" s="178"/>
      <c r="BH176" s="543">
        <f t="shared" si="238"/>
        <v>0.35254026932733357</v>
      </c>
      <c r="BI176" s="543">
        <f t="shared" si="239"/>
        <v>7.8134528584005228E-2</v>
      </c>
      <c r="BJ176" s="543">
        <f t="shared" si="240"/>
        <v>8.9680951028987353E-3</v>
      </c>
      <c r="BK176" s="543">
        <f t="shared" si="241"/>
        <v>1.8223449502062197E-2</v>
      </c>
      <c r="BL176">
        <f t="shared" si="242"/>
        <v>2.6099999999999999E-3</v>
      </c>
      <c r="BM176" s="470">
        <f t="shared" si="243"/>
        <v>460.47634251629972</v>
      </c>
      <c r="BN176" s="178">
        <f t="shared" si="244"/>
        <v>0.21120000000000003</v>
      </c>
      <c r="BO176" s="178">
        <f t="shared" si="245"/>
        <v>0.13200000000000001</v>
      </c>
      <c r="BP176" s="543"/>
      <c r="BR176" s="470">
        <f t="shared" si="246"/>
        <v>343.20000000000005</v>
      </c>
      <c r="BS176" s="543">
        <f t="shared" si="247"/>
        <v>0.12819646157357584</v>
      </c>
      <c r="BT176" s="543">
        <f t="shared" si="248"/>
        <v>9.5936871759757403E-2</v>
      </c>
      <c r="BU176" s="543">
        <f t="shared" si="249"/>
        <v>2.8106505398366417E-2</v>
      </c>
      <c r="BV176" s="543">
        <f t="shared" si="250"/>
        <v>0</v>
      </c>
      <c r="BW176" s="648">
        <f t="shared" si="287"/>
        <v>0.11306525900979583</v>
      </c>
      <c r="BX176" s="470">
        <f t="shared" si="251"/>
        <v>365.30509774149544</v>
      </c>
      <c r="BY176" s="178">
        <f t="shared" si="252"/>
        <v>1.1689814402577954</v>
      </c>
      <c r="BZ176" s="6">
        <f t="shared" si="253"/>
        <v>10.295999999999999</v>
      </c>
      <c r="CA176" s="178">
        <f t="shared" si="254"/>
        <v>0.89803895921252275</v>
      </c>
      <c r="CB176" s="6">
        <f t="shared" si="255"/>
        <v>89.803895921252277</v>
      </c>
      <c r="CC176">
        <f t="shared" si="256"/>
        <v>66</v>
      </c>
      <c r="CE176" s="577">
        <f t="shared" si="288"/>
        <v>-50</v>
      </c>
      <c r="CF176">
        <f t="shared" si="289"/>
        <v>-50</v>
      </c>
    </row>
    <row r="177" spans="5:84" x14ac:dyDescent="0.2">
      <c r="E177" s="175">
        <v>67</v>
      </c>
      <c r="F177" s="222">
        <f t="shared" si="290"/>
        <v>0.53600000000000003</v>
      </c>
      <c r="G177" s="222">
        <f t="shared" si="257"/>
        <v>0.33500000000000002</v>
      </c>
      <c r="H177" s="222">
        <f t="shared" si="258"/>
        <v>6.4320000000000004</v>
      </c>
      <c r="I177" s="222">
        <f t="shared" si="259"/>
        <v>4.0200000000000005</v>
      </c>
      <c r="J177" s="556">
        <f t="shared" si="260"/>
        <v>9</v>
      </c>
      <c r="K177" s="452">
        <f t="shared" si="261"/>
        <v>11.850560545687847</v>
      </c>
      <c r="L177" s="452">
        <f t="shared" si="262"/>
        <v>21.25</v>
      </c>
      <c r="M177" s="452"/>
      <c r="N177" s="222">
        <f t="shared" si="263"/>
        <v>0.57647058823529407</v>
      </c>
      <c r="O177" s="177">
        <f t="shared" si="264"/>
        <v>6.2179004524886858</v>
      </c>
      <c r="P177" s="177">
        <f t="shared" si="265"/>
        <v>6.3150551470588203</v>
      </c>
      <c r="Q177" s="222">
        <f t="shared" si="266"/>
        <v>0.51815837104072382</v>
      </c>
      <c r="R177" s="222">
        <f t="shared" si="267"/>
        <v>0.51815837104072382</v>
      </c>
      <c r="S177" s="222">
        <f t="shared" si="268"/>
        <v>11.600560545687847</v>
      </c>
      <c r="T177" s="222">
        <f t="shared" si="269"/>
        <v>4.0999999999999996</v>
      </c>
      <c r="U177" s="222">
        <f t="shared" si="270"/>
        <v>3.1888888888888887</v>
      </c>
      <c r="V177" s="222">
        <f t="shared" si="271"/>
        <v>2.4218263675673368</v>
      </c>
      <c r="W177" s="202">
        <f t="shared" si="272"/>
        <v>350</v>
      </c>
      <c r="X177" s="452">
        <f t="shared" si="273"/>
        <v>178.23039564328349</v>
      </c>
      <c r="Z177" s="222">
        <f t="shared" si="274"/>
        <v>2.0878417775356066</v>
      </c>
      <c r="AA177" s="178">
        <f t="shared" si="275"/>
        <v>1.2332659190596074</v>
      </c>
      <c r="AB177" s="178">
        <f t="shared" si="276"/>
        <v>0.27729305785176089</v>
      </c>
      <c r="AC177" s="178"/>
      <c r="AD177" s="178">
        <f t="shared" si="277"/>
        <v>0.48436527351346736</v>
      </c>
      <c r="AE177" s="560">
        <f t="shared" si="278"/>
        <v>2699.0313811883611</v>
      </c>
      <c r="AF177" s="543">
        <f t="shared" si="279"/>
        <v>6.9506416749182565E-2</v>
      </c>
      <c r="AH177" s="178">
        <f t="shared" si="280"/>
        <v>2.9210006672301847</v>
      </c>
      <c r="AI177" s="178">
        <f t="shared" si="281"/>
        <v>4.0999999999999996</v>
      </c>
      <c r="AJ177" s="178">
        <f t="shared" si="282"/>
        <v>3.6296296296296298</v>
      </c>
      <c r="AL177" s="560">
        <f t="shared" si="283"/>
        <v>536</v>
      </c>
      <c r="AM177" s="470">
        <f t="shared" si="284"/>
        <v>178.23039564328349</v>
      </c>
      <c r="AO177" t="str">
        <f t="shared" si="285"/>
        <v/>
      </c>
      <c r="AP177" t="str">
        <f t="shared" si="286"/>
        <v/>
      </c>
      <c r="AR177" s="6">
        <f t="shared" si="214"/>
        <v>5.6107152564562268</v>
      </c>
      <c r="AS177" s="6">
        <f t="shared" si="211"/>
        <v>3.1888888888888887</v>
      </c>
      <c r="AT177" s="6">
        <f t="shared" si="212"/>
        <v>2.4218263675673382</v>
      </c>
      <c r="AU177" s="178">
        <f t="shared" si="213"/>
        <v>0.5683569283291372</v>
      </c>
      <c r="AW177" s="6">
        <f>L*Iout^2/(2*Vripple1_spec*Vout*Npri_sec1^2)*1000000000*((1+N177)/(1-N177))^2</f>
        <v>21.552126200274348</v>
      </c>
      <c r="AX177" s="6">
        <f>L*F177^2/(2*Cout*Vout*Nps^2)*1000000000*((1+N177)/(1-N177))^2+F177*RCoutEsr</f>
        <v>26.30948796077401</v>
      </c>
      <c r="AY177" s="6">
        <f>L*Iout2^2/(2*Vout_ripple2*Vout2*Npri_sec2^2)*1000000000*((1+N177)/(1-N177))^2</f>
        <v>8.4187992969821668</v>
      </c>
      <c r="AZ177" s="6">
        <f>L*G177^2/(2*Cout2*Vout2*Npri_sec2^2)*1000000000*((1+N177)/(1-N177))^2+G177*CoutEsr2</f>
        <v>10.654018734677349</v>
      </c>
      <c r="BA177" s="6">
        <f>(H177+I177)/Efficiency/J177*AT177/Vinripple1</f>
        <v>4.3860392798464503</v>
      </c>
      <c r="BB177" s="6"/>
      <c r="BC177" s="6"/>
      <c r="BD177" s="178">
        <f t="shared" si="235"/>
        <v>1.7845709068954356</v>
      </c>
      <c r="BE177" s="178">
        <f t="shared" si="236"/>
        <v>1.5551977403519253</v>
      </c>
      <c r="BF177" s="178">
        <f t="shared" si="237"/>
        <v>0.97199858771995307</v>
      </c>
      <c r="BG177" s="178"/>
      <c r="BH177" s="543">
        <f t="shared" si="238"/>
        <v>0.35031626539113575</v>
      </c>
      <c r="BI177" s="543">
        <f t="shared" si="239"/>
        <v>7.7641616102105349E-2</v>
      </c>
      <c r="BJ177" s="543">
        <f t="shared" si="240"/>
        <v>8.9115197821641734E-3</v>
      </c>
      <c r="BK177" s="543">
        <f t="shared" si="241"/>
        <v>1.8108486682350794E-2</v>
      </c>
      <c r="BL177">
        <f t="shared" si="242"/>
        <v>2.6099999999999999E-3</v>
      </c>
      <c r="BM177" s="470">
        <f t="shared" si="243"/>
        <v>457.5878879577561</v>
      </c>
      <c r="BN177" s="178">
        <f t="shared" si="244"/>
        <v>0.21440000000000003</v>
      </c>
      <c r="BO177" s="178">
        <f t="shared" si="245"/>
        <v>0.13400000000000001</v>
      </c>
      <c r="BP177" s="543"/>
      <c r="BR177" s="470">
        <f t="shared" si="246"/>
        <v>348.40000000000003</v>
      </c>
      <c r="BS177" s="543">
        <f t="shared" si="247"/>
        <v>0.12738773286950392</v>
      </c>
      <c r="BT177" s="543">
        <f t="shared" si="248"/>
        <v>9.6745600463829379E-2</v>
      </c>
      <c r="BU177" s="543">
        <f t="shared" si="249"/>
        <v>2.8343437635887498E-2</v>
      </c>
      <c r="BV177" s="543">
        <f t="shared" si="250"/>
        <v>0</v>
      </c>
      <c r="BW177" s="648">
        <f t="shared" si="287"/>
        <v>0.11235198565363484</v>
      </c>
      <c r="BX177" s="470">
        <f t="shared" si="251"/>
        <v>364.82875662285562</v>
      </c>
      <c r="BY177" s="178">
        <f t="shared" si="252"/>
        <v>1.1708166445806116</v>
      </c>
      <c r="BZ177" s="6">
        <f t="shared" si="253"/>
        <v>10.452000000000002</v>
      </c>
      <c r="CA177" s="178">
        <f t="shared" si="254"/>
        <v>0.89926567024297599</v>
      </c>
      <c r="CB177" s="6">
        <f t="shared" si="255"/>
        <v>89.926567024297597</v>
      </c>
      <c r="CC177">
        <f t="shared" si="256"/>
        <v>67</v>
      </c>
      <c r="CE177" s="577">
        <f t="shared" si="288"/>
        <v>-50</v>
      </c>
      <c r="CF177">
        <f t="shared" si="289"/>
        <v>-50</v>
      </c>
    </row>
    <row r="178" spans="5:84" x14ac:dyDescent="0.2">
      <c r="E178" s="175">
        <v>68</v>
      </c>
      <c r="F178" s="222">
        <f t="shared" si="290"/>
        <v>0.54400000000000004</v>
      </c>
      <c r="G178" s="222">
        <f t="shared" si="257"/>
        <v>0.34</v>
      </c>
      <c r="H178" s="222">
        <f t="shared" si="258"/>
        <v>6.5280000000000005</v>
      </c>
      <c r="I178" s="222">
        <f t="shared" si="259"/>
        <v>4.08</v>
      </c>
      <c r="J178" s="556">
        <f t="shared" si="260"/>
        <v>9</v>
      </c>
      <c r="K178" s="452">
        <f t="shared" si="261"/>
        <v>11.67996406707479</v>
      </c>
      <c r="L178" s="452">
        <f t="shared" si="262"/>
        <v>21.25</v>
      </c>
      <c r="M178" s="452"/>
      <c r="N178" s="222">
        <f t="shared" si="263"/>
        <v>0.57647058823529407</v>
      </c>
      <c r="O178" s="177">
        <f t="shared" si="264"/>
        <v>6.2179004524886858</v>
      </c>
      <c r="P178" s="177">
        <f t="shared" si="265"/>
        <v>6.3150551470588203</v>
      </c>
      <c r="Q178" s="222">
        <f t="shared" si="266"/>
        <v>0.51815837104072382</v>
      </c>
      <c r="R178" s="222">
        <f t="shared" si="267"/>
        <v>0.51815837104072382</v>
      </c>
      <c r="S178" s="222">
        <f t="shared" si="268"/>
        <v>11.42996406707479</v>
      </c>
      <c r="T178" s="222">
        <f t="shared" si="269"/>
        <v>4.0999999999999996</v>
      </c>
      <c r="U178" s="222">
        <f t="shared" si="270"/>
        <v>3.1888888888888887</v>
      </c>
      <c r="V178" s="222">
        <f t="shared" si="271"/>
        <v>2.4571993402705576</v>
      </c>
      <c r="W178" s="202">
        <f t="shared" si="272"/>
        <v>350</v>
      </c>
      <c r="X178" s="452">
        <f t="shared" si="273"/>
        <v>177.11377495581107</v>
      </c>
      <c r="Z178" s="222">
        <f t="shared" si="274"/>
        <v>2.0747613637680722</v>
      </c>
      <c r="AA178" s="178">
        <f t="shared" si="275"/>
        <v>1.2434395742121342</v>
      </c>
      <c r="AB178" s="178">
        <f t="shared" si="276"/>
        <v>0.27782896472752172</v>
      </c>
      <c r="AC178" s="178"/>
      <c r="AD178" s="178">
        <f t="shared" si="277"/>
        <v>0.49143986805411161</v>
      </c>
      <c r="AE178" s="560">
        <f t="shared" si="278"/>
        <v>2699.8812154706752</v>
      </c>
      <c r="AF178" s="543">
        <f t="shared" si="279"/>
        <v>7.0521621065765011E-2</v>
      </c>
      <c r="AH178" s="178">
        <f t="shared" si="280"/>
        <v>2.9427184433334244</v>
      </c>
      <c r="AI178" s="178">
        <f t="shared" si="281"/>
        <v>4.0999999999999996</v>
      </c>
      <c r="AJ178" s="178">
        <f t="shared" si="282"/>
        <v>3.6296296296296298</v>
      </c>
      <c r="AL178" s="560">
        <f t="shared" si="283"/>
        <v>544</v>
      </c>
      <c r="AM178" s="470">
        <f t="shared" si="284"/>
        <v>177.11377495581107</v>
      </c>
      <c r="AO178" t="str">
        <f t="shared" si="285"/>
        <v/>
      </c>
      <c r="AP178" t="str">
        <f t="shared" si="286"/>
        <v/>
      </c>
      <c r="AR178" s="6">
        <f t="shared" si="214"/>
        <v>5.6460882291594459</v>
      </c>
      <c r="AS178" s="6">
        <f t="shared" si="211"/>
        <v>3.1888888888888887</v>
      </c>
      <c r="AT178" s="6">
        <f t="shared" si="212"/>
        <v>2.4571993402705572</v>
      </c>
      <c r="AU178" s="178">
        <f t="shared" si="213"/>
        <v>0.56479614902575304</v>
      </c>
      <c r="AW178" s="6">
        <f>L*Iout^2/(2*Vripple1_spec*Vout*Npri_sec1^2)*1000000000*((1+N178)/(1-N178))^2</f>
        <v>21.552126200274348</v>
      </c>
      <c r="AX178" s="6">
        <f>L*F178^2/(2*Cout*Vout*Nps^2)*1000000000*((1+N178)/(1-N178))^2+F178*RCoutEsr</f>
        <v>27.076348480868578</v>
      </c>
      <c r="AY178" s="6">
        <f>L*Iout2^2/(2*Vout_ripple2*Vout2*Npri_sec2^2)*1000000000*((1+N178)/(1-N178))^2</f>
        <v>8.4187992969821668</v>
      </c>
      <c r="AZ178" s="6">
        <f>L*G178^2/(2*Cout2*Vout2*Npri_sec2^2)*1000000000*((1+N178)/(1-N178))^2+G178*CoutEsr2</f>
        <v>10.959198625339287</v>
      </c>
      <c r="BA178" s="6">
        <f>(H178+I178)/Efficiency/J178*AT178/Vinripple1</f>
        <v>4.516520788666246</v>
      </c>
      <c r="BB178" s="6"/>
      <c r="BC178" s="6"/>
      <c r="BD178" s="178">
        <f t="shared" si="235"/>
        <v>1.7789719189392232</v>
      </c>
      <c r="BE178" s="178">
        <f t="shared" si="236"/>
        <v>1.5615992587597594</v>
      </c>
      <c r="BF178" s="178">
        <f t="shared" si="237"/>
        <v>0.9759995367248494</v>
      </c>
      <c r="BG178" s="178"/>
      <c r="BH178" s="543">
        <f t="shared" si="238"/>
        <v>0.34812151972117328</v>
      </c>
      <c r="BI178" s="543">
        <f t="shared" si="239"/>
        <v>7.7155188215125181E-2</v>
      </c>
      <c r="BJ178" s="543">
        <f t="shared" si="240"/>
        <v>8.8556887477905539E-3</v>
      </c>
      <c r="BK178" s="543">
        <f t="shared" si="241"/>
        <v>1.799503627578377E-2</v>
      </c>
      <c r="BL178">
        <f t="shared" si="242"/>
        <v>2.6099999999999999E-3</v>
      </c>
      <c r="BM178" s="470">
        <f t="shared" si="243"/>
        <v>454.73743295987276</v>
      </c>
      <c r="BN178" s="178">
        <f t="shared" si="244"/>
        <v>0.21760000000000002</v>
      </c>
      <c r="BO178" s="178">
        <f t="shared" si="245"/>
        <v>0.13600000000000001</v>
      </c>
      <c r="BP178" s="543"/>
      <c r="BR178" s="470">
        <f t="shared" si="246"/>
        <v>353.6</v>
      </c>
      <c r="BS178" s="543">
        <f t="shared" si="247"/>
        <v>0.1265896435349721</v>
      </c>
      <c r="BT178" s="543">
        <f t="shared" si="248"/>
        <v>9.7543689798361199E-2</v>
      </c>
      <c r="BU178" s="543">
        <f t="shared" si="249"/>
        <v>2.8577252870613617E-2</v>
      </c>
      <c r="BV178" s="543">
        <f t="shared" si="250"/>
        <v>0</v>
      </c>
      <c r="BW178" s="648">
        <f t="shared" si="287"/>
        <v>0.11164809588776942</v>
      </c>
      <c r="BX178" s="470">
        <f t="shared" si="251"/>
        <v>364.35868209171633</v>
      </c>
      <c r="BY178" s="178">
        <f t="shared" si="252"/>
        <v>1.1726961150515893</v>
      </c>
      <c r="BZ178" s="6">
        <f t="shared" si="253"/>
        <v>10.608000000000001</v>
      </c>
      <c r="CA178" s="178">
        <f t="shared" si="254"/>
        <v>0.90045612724418755</v>
      </c>
      <c r="CB178" s="6">
        <f t="shared" si="255"/>
        <v>90.04561272441876</v>
      </c>
      <c r="CC178">
        <f t="shared" si="256"/>
        <v>68</v>
      </c>
      <c r="CE178" s="577">
        <f t="shared" si="288"/>
        <v>-50</v>
      </c>
      <c r="CF178">
        <f t="shared" si="289"/>
        <v>-50</v>
      </c>
    </row>
    <row r="179" spans="5:84" x14ac:dyDescent="0.2">
      <c r="E179" s="175">
        <v>69</v>
      </c>
      <c r="F179" s="222">
        <f t="shared" si="290"/>
        <v>0.55199999999999994</v>
      </c>
      <c r="G179" s="222">
        <f t="shared" si="257"/>
        <v>0.34499999999999997</v>
      </c>
      <c r="H179" s="222">
        <f t="shared" si="258"/>
        <v>6.6239999999999988</v>
      </c>
      <c r="I179" s="222">
        <f t="shared" si="259"/>
        <v>4.1399999999999997</v>
      </c>
      <c r="J179" s="556">
        <f t="shared" si="260"/>
        <v>9</v>
      </c>
      <c r="K179" s="452">
        <f t="shared" si="261"/>
        <v>11.51431241392878</v>
      </c>
      <c r="L179" s="452">
        <f t="shared" si="262"/>
        <v>21.25</v>
      </c>
      <c r="M179" s="452"/>
      <c r="N179" s="222">
        <f t="shared" si="263"/>
        <v>0.57647058823529407</v>
      </c>
      <c r="O179" s="177">
        <f t="shared" si="264"/>
        <v>6.2179004524886858</v>
      </c>
      <c r="P179" s="177">
        <f t="shared" si="265"/>
        <v>6.3150551470588203</v>
      </c>
      <c r="Q179" s="222">
        <f t="shared" si="266"/>
        <v>0.51815837104072382</v>
      </c>
      <c r="R179" s="222">
        <f t="shared" si="267"/>
        <v>0.51815837104072382</v>
      </c>
      <c r="S179" s="222">
        <f t="shared" si="268"/>
        <v>11.26431241392878</v>
      </c>
      <c r="T179" s="222">
        <f t="shared" si="269"/>
        <v>4.0999999999999996</v>
      </c>
      <c r="U179" s="222">
        <f t="shared" si="270"/>
        <v>3.1888888888888887</v>
      </c>
      <c r="V179" s="222">
        <f t="shared" si="271"/>
        <v>2.4925500514717505</v>
      </c>
      <c r="W179" s="202">
        <f t="shared" si="272"/>
        <v>350</v>
      </c>
      <c r="X179" s="452">
        <f t="shared" si="273"/>
        <v>176.01174816753786</v>
      </c>
      <c r="Z179" s="222">
        <f t="shared" si="274"/>
        <v>2.0618519071054431</v>
      </c>
      <c r="AA179" s="178">
        <f t="shared" si="275"/>
        <v>1.2534802627275121</v>
      </c>
      <c r="AB179" s="178">
        <f t="shared" si="276"/>
        <v>0.2783297644856349</v>
      </c>
      <c r="AC179" s="178"/>
      <c r="AD179" s="178">
        <f t="shared" si="277"/>
        <v>0.49851001029435016</v>
      </c>
      <c r="AE179" s="560">
        <f t="shared" si="278"/>
        <v>2700.7310497529897</v>
      </c>
      <c r="AF179" s="543">
        <f t="shared" si="279"/>
        <v>7.153618647723925E-2</v>
      </c>
      <c r="AH179" s="178">
        <f t="shared" si="280"/>
        <v>2.9642771084212427</v>
      </c>
      <c r="AI179" s="178">
        <f t="shared" si="281"/>
        <v>4.0999999999999996</v>
      </c>
      <c r="AJ179" s="178">
        <f t="shared" si="282"/>
        <v>3.6296296296296298</v>
      </c>
      <c r="AL179" s="560">
        <f t="shared" si="283"/>
        <v>551.99999999999989</v>
      </c>
      <c r="AM179" s="470">
        <f t="shared" si="284"/>
        <v>176.01174816753786</v>
      </c>
      <c r="AO179" t="str">
        <f t="shared" si="285"/>
        <v/>
      </c>
      <c r="AP179" t="str">
        <f t="shared" si="286"/>
        <v/>
      </c>
      <c r="AR179" s="6">
        <f t="shared" si="214"/>
        <v>5.68143894036064</v>
      </c>
      <c r="AS179" s="6">
        <f t="shared" ref="AS179:AS244" si="291">L*AI179/J179*1000000</f>
        <v>3.1888888888888887</v>
      </c>
      <c r="AT179" s="6">
        <f t="shared" ref="AT179:AT244" si="292">AR179-AS179</f>
        <v>2.4925500514717513</v>
      </c>
      <c r="AU179" s="178">
        <f t="shared" ref="AU179:AU244" si="293">AS179/AR179</f>
        <v>0.56128190804537059</v>
      </c>
      <c r="AW179" s="6">
        <f>L*Iout^2/(2*Vripple1_spec*Vout*Npri_sec1^2)*1000000000*((1+N179)/(1-N179))^2</f>
        <v>21.552126200274348</v>
      </c>
      <c r="AX179" s="6">
        <f>L*F179^2/(2*Cout*Vout*Nps^2)*1000000000*((1+N179)/(1-N179))^2+F179*RCoutEsr</f>
        <v>27.854214342001566</v>
      </c>
      <c r="AY179" s="6">
        <f>L*Iout2^2/(2*Vout_ripple2*Vout2*Npri_sec2^2)*1000000000*((1+N179)/(1-N179))^2</f>
        <v>8.4187992969821668</v>
      </c>
      <c r="AZ179" s="6">
        <f>L*G179^2/(2*Cout2*Vout2*Npri_sec2^2)*1000000000*((1+N179)/(1-N179))^2+G179*CoutEsr2</f>
        <v>11.268677477344363</v>
      </c>
      <c r="BA179" s="6">
        <f>(H179+I179)/Efficiency/J179*AT179/Vinripple1</f>
        <v>4.6488730784564742</v>
      </c>
      <c r="BB179" s="6"/>
      <c r="BC179" s="6"/>
      <c r="BD179" s="178">
        <f t="shared" si="235"/>
        <v>1.7734287763390892</v>
      </c>
      <c r="BE179" s="178">
        <f t="shared" si="236"/>
        <v>1.5678914849522503</v>
      </c>
      <c r="BF179" s="178">
        <f t="shared" si="237"/>
        <v>0.9799321780951562</v>
      </c>
      <c r="BG179" s="178"/>
      <c r="BH179" s="543">
        <f t="shared" si="238"/>
        <v>0.34595545872223149</v>
      </c>
      <c r="BI179" s="543">
        <f t="shared" si="239"/>
        <v>7.6675117795483666E-2</v>
      </c>
      <c r="BJ179" s="543">
        <f t="shared" si="240"/>
        <v>8.8005874083768917E-3</v>
      </c>
      <c r="BK179" s="543">
        <f t="shared" si="241"/>
        <v>1.788306863217836E-2</v>
      </c>
      <c r="BL179">
        <f t="shared" si="242"/>
        <v>2.6099999999999999E-3</v>
      </c>
      <c r="BM179" s="470">
        <f t="shared" si="243"/>
        <v>451.92423255827049</v>
      </c>
      <c r="BN179" s="178">
        <f t="shared" si="244"/>
        <v>0.2208</v>
      </c>
      <c r="BO179" s="178">
        <f t="shared" si="245"/>
        <v>0.13799999999999998</v>
      </c>
      <c r="BP179" s="543"/>
      <c r="BR179" s="470">
        <f t="shared" si="246"/>
        <v>358.8</v>
      </c>
      <c r="BS179" s="543">
        <f t="shared" si="247"/>
        <v>0.12580198498990236</v>
      </c>
      <c r="BT179" s="543">
        <f t="shared" si="248"/>
        <v>9.8331348343430908E-2</v>
      </c>
      <c r="BU179" s="543">
        <f t="shared" si="249"/>
        <v>2.8808012209989506E-2</v>
      </c>
      <c r="BV179" s="543">
        <f t="shared" si="250"/>
        <v>0</v>
      </c>
      <c r="BW179" s="648">
        <f t="shared" si="287"/>
        <v>0.11095340575111169</v>
      </c>
      <c r="BX179" s="470">
        <f t="shared" si="251"/>
        <v>363.89475129443446</v>
      </c>
      <c r="BY179" s="178">
        <f t="shared" si="252"/>
        <v>1.1746189838527048</v>
      </c>
      <c r="BZ179" s="6">
        <f t="shared" si="253"/>
        <v>10.763999999999999</v>
      </c>
      <c r="CA179" s="178">
        <f t="shared" si="254"/>
        <v>0.90161182081098257</v>
      </c>
      <c r="CB179" s="6">
        <f t="shared" si="255"/>
        <v>90.161182081098261</v>
      </c>
      <c r="CC179">
        <f t="shared" si="256"/>
        <v>68.999999999999986</v>
      </c>
      <c r="CE179" s="577">
        <f t="shared" si="288"/>
        <v>-50</v>
      </c>
      <c r="CF179">
        <f t="shared" si="289"/>
        <v>-50</v>
      </c>
    </row>
    <row r="180" spans="5:84" x14ac:dyDescent="0.2">
      <c r="E180" s="175">
        <v>70</v>
      </c>
      <c r="F180" s="222">
        <f t="shared" si="290"/>
        <v>0.55999999999999994</v>
      </c>
      <c r="G180" s="222">
        <f t="shared" si="257"/>
        <v>0.35</v>
      </c>
      <c r="H180" s="222">
        <f t="shared" si="258"/>
        <v>6.7199999999999989</v>
      </c>
      <c r="I180" s="222">
        <f t="shared" si="259"/>
        <v>4.1999999999999993</v>
      </c>
      <c r="J180" s="556">
        <f t="shared" si="260"/>
        <v>9</v>
      </c>
      <c r="K180" s="452">
        <f t="shared" si="261"/>
        <v>11.353393665158368</v>
      </c>
      <c r="L180" s="452">
        <f t="shared" si="262"/>
        <v>21.25</v>
      </c>
      <c r="M180" s="452"/>
      <c r="N180" s="222">
        <f t="shared" si="263"/>
        <v>0.57647058823529407</v>
      </c>
      <c r="O180" s="177">
        <f t="shared" si="264"/>
        <v>6.2179004524886858</v>
      </c>
      <c r="P180" s="177">
        <f t="shared" si="265"/>
        <v>6.3150551470588203</v>
      </c>
      <c r="Q180" s="222">
        <f t="shared" si="266"/>
        <v>0.51815837104072382</v>
      </c>
      <c r="R180" s="222">
        <f t="shared" si="267"/>
        <v>0.51815837104072382</v>
      </c>
      <c r="S180" s="222">
        <f t="shared" si="268"/>
        <v>11.103393665158368</v>
      </c>
      <c r="T180" s="222">
        <f t="shared" si="269"/>
        <v>4.0999999999999996</v>
      </c>
      <c r="U180" s="222">
        <f t="shared" si="270"/>
        <v>3.1888888888888887</v>
      </c>
      <c r="V180" s="222">
        <f t="shared" si="271"/>
        <v>2.5278785221792681</v>
      </c>
      <c r="W180" s="202">
        <f t="shared" si="272"/>
        <v>350</v>
      </c>
      <c r="X180" s="452">
        <f t="shared" si="273"/>
        <v>174.92403102912905</v>
      </c>
      <c r="Z180" s="222">
        <f t="shared" si="274"/>
        <v>2.0491100777697975</v>
      </c>
      <c r="AA180" s="178">
        <f t="shared" si="275"/>
        <v>1.2633905744330149</v>
      </c>
      <c r="AB180" s="178">
        <f t="shared" si="276"/>
        <v>0.27879668473246849</v>
      </c>
      <c r="AC180" s="178"/>
      <c r="AD180" s="178">
        <f t="shared" si="277"/>
        <v>0.50557570443585353</v>
      </c>
      <c r="AE180" s="560">
        <f t="shared" si="278"/>
        <v>2701.5808840353052</v>
      </c>
      <c r="AF180" s="543">
        <f t="shared" si="279"/>
        <v>7.2550113586544965E-2</v>
      </c>
      <c r="AH180" s="178">
        <f t="shared" si="280"/>
        <v>2.9856801091687153</v>
      </c>
      <c r="AI180" s="178">
        <f t="shared" si="281"/>
        <v>4.0999999999999996</v>
      </c>
      <c r="AJ180" s="178">
        <f t="shared" si="282"/>
        <v>3.6296296296296298</v>
      </c>
      <c r="AL180" s="560">
        <f t="shared" si="283"/>
        <v>559.99999999999989</v>
      </c>
      <c r="AM180" s="470">
        <f t="shared" si="284"/>
        <v>174.92403102912905</v>
      </c>
      <c r="AO180" t="str">
        <f t="shared" si="285"/>
        <v/>
      </c>
      <c r="AP180" t="str">
        <f t="shared" si="286"/>
        <v/>
      </c>
      <c r="AR180" s="6">
        <f t="shared" si="214"/>
        <v>5.7167674110681563</v>
      </c>
      <c r="AS180" s="6">
        <f t="shared" si="291"/>
        <v>3.1888888888888887</v>
      </c>
      <c r="AT180" s="6">
        <f t="shared" si="292"/>
        <v>2.5278785221792677</v>
      </c>
      <c r="AU180" s="178">
        <f t="shared" si="293"/>
        <v>0.55781329894844489</v>
      </c>
      <c r="AW180" s="6">
        <f>L*Iout^2/(2*Vripple1_spec*Vout*Npri_sec1^2)*1000000000*((1+N180)/(1-N180))^2</f>
        <v>21.552126200274348</v>
      </c>
      <c r="AX180" s="6">
        <f>L*F180^2/(2*Cout*Vout*Nps^2)*1000000000*((1+N180)/(1-N180))^2+F180*RCoutEsr</f>
        <v>28.643085544173005</v>
      </c>
      <c r="AY180" s="6">
        <f>L*Iout2^2/(2*Vout_ripple2*Vout2*Npri_sec2^2)*1000000000*((1+N180)/(1-N180))^2</f>
        <v>8.4187992969821668</v>
      </c>
      <c r="AZ180" s="6">
        <f>L*G180^2/(2*Cout2*Vout2*Npri_sec2^2)*1000000000*((1+N180)/(1-N180))^2+G180*CoutEsr2</f>
        <v>11.582455290692579</v>
      </c>
      <c r="BA180" s="6">
        <f>(H180+I180)/Efficiency/J180*AT180/Vinripple1</f>
        <v>4.7830943837466053</v>
      </c>
      <c r="BB180" s="6"/>
      <c r="BC180" s="6"/>
      <c r="BD180" s="178">
        <f t="shared" si="235"/>
        <v>1.7679405679418221</v>
      </c>
      <c r="BE180" s="178">
        <f t="shared" si="236"/>
        <v>1.5740773429405812</v>
      </c>
      <c r="BF180" s="178">
        <f t="shared" si="237"/>
        <v>0.98379833933786309</v>
      </c>
      <c r="BG180" s="178"/>
      <c r="BH180" s="543">
        <f t="shared" si="238"/>
        <v>0.34381752369518975</v>
      </c>
      <c r="BI180" s="543">
        <f t="shared" si="239"/>
        <v>7.6201281017064332E-2</v>
      </c>
      <c r="BJ180" s="543">
        <f t="shared" si="240"/>
        <v>8.746201551456452E-3</v>
      </c>
      <c r="BK180" s="543">
        <f t="shared" si="241"/>
        <v>1.7772554871357996E-2</v>
      </c>
      <c r="BL180">
        <f t="shared" si="242"/>
        <v>2.6099999999999999E-3</v>
      </c>
      <c r="BM180" s="470">
        <f t="shared" si="243"/>
        <v>449.14756113506849</v>
      </c>
      <c r="BN180" s="178">
        <f t="shared" si="244"/>
        <v>0.22399999999999998</v>
      </c>
      <c r="BO180" s="178">
        <f t="shared" si="245"/>
        <v>0.13999999999999999</v>
      </c>
      <c r="BP180" s="543"/>
      <c r="BR180" s="470">
        <f t="shared" si="246"/>
        <v>364</v>
      </c>
      <c r="BS180" s="543">
        <f t="shared" si="247"/>
        <v>0.12502455407097809</v>
      </c>
      <c r="BT180" s="543">
        <f t="shared" si="248"/>
        <v>9.9108779262355215E-2</v>
      </c>
      <c r="BU180" s="543">
        <f t="shared" si="249"/>
        <v>2.9035775174518118E-2</v>
      </c>
      <c r="BV180" s="543">
        <f t="shared" si="250"/>
        <v>0</v>
      </c>
      <c r="BW180" s="648">
        <f t="shared" si="287"/>
        <v>0.11026773605998724</v>
      </c>
      <c r="BX180" s="470">
        <f t="shared" si="251"/>
        <v>363.43684456783865</v>
      </c>
      <c r="BY180" s="178">
        <f t="shared" si="252"/>
        <v>1.1765844057029071</v>
      </c>
      <c r="BZ180" s="6">
        <f t="shared" si="253"/>
        <v>10.919999999999998</v>
      </c>
      <c r="CA180" s="178">
        <f t="shared" si="254"/>
        <v>0.90273416311234023</v>
      </c>
      <c r="CB180" s="6">
        <f t="shared" si="255"/>
        <v>90.27341631123403</v>
      </c>
      <c r="CC180">
        <f t="shared" si="256"/>
        <v>69.999999999999986</v>
      </c>
      <c r="CE180" s="577">
        <f t="shared" si="288"/>
        <v>-50</v>
      </c>
      <c r="CF180">
        <f t="shared" si="289"/>
        <v>-50</v>
      </c>
    </row>
    <row r="181" spans="5:84" x14ac:dyDescent="0.2">
      <c r="E181" s="175">
        <v>71</v>
      </c>
      <c r="F181" s="222">
        <f t="shared" si="290"/>
        <v>0.56799999999999995</v>
      </c>
      <c r="G181" s="222">
        <f t="shared" si="257"/>
        <v>0.35499999999999998</v>
      </c>
      <c r="H181" s="222">
        <f t="shared" si="258"/>
        <v>6.8159999999999989</v>
      </c>
      <c r="I181" s="222">
        <f t="shared" si="259"/>
        <v>4.26</v>
      </c>
      <c r="J181" s="556">
        <f t="shared" si="260"/>
        <v>9</v>
      </c>
      <c r="K181" s="452">
        <f t="shared" si="261"/>
        <v>11.197007838888533</v>
      </c>
      <c r="L181" s="452">
        <f t="shared" si="262"/>
        <v>21.25</v>
      </c>
      <c r="M181" s="452"/>
      <c r="N181" s="222">
        <f t="shared" si="263"/>
        <v>0.57647058823529407</v>
      </c>
      <c r="O181" s="177">
        <f t="shared" si="264"/>
        <v>6.2179004524886858</v>
      </c>
      <c r="P181" s="177">
        <f t="shared" si="265"/>
        <v>6.3150551470588203</v>
      </c>
      <c r="Q181" s="222">
        <f t="shared" si="266"/>
        <v>0.51815837104072382</v>
      </c>
      <c r="R181" s="222">
        <f t="shared" si="267"/>
        <v>0.51815837104072382</v>
      </c>
      <c r="S181" s="222">
        <f t="shared" si="268"/>
        <v>10.947007838888533</v>
      </c>
      <c r="T181" s="222">
        <f t="shared" si="269"/>
        <v>4.0999999999999996</v>
      </c>
      <c r="U181" s="222">
        <f t="shared" si="270"/>
        <v>3.1888888888888887</v>
      </c>
      <c r="V181" s="222">
        <f t="shared" si="271"/>
        <v>2.5631847733750353</v>
      </c>
      <c r="W181" s="202">
        <f t="shared" si="272"/>
        <v>350</v>
      </c>
      <c r="X181" s="452">
        <f t="shared" si="273"/>
        <v>173.85034662550134</v>
      </c>
      <c r="Z181" s="222">
        <f t="shared" si="274"/>
        <v>2.0365326318987296</v>
      </c>
      <c r="AA181" s="178">
        <f t="shared" si="275"/>
        <v>1.2731730323327339</v>
      </c>
      <c r="AB181" s="178">
        <f t="shared" si="276"/>
        <v>0.27923090745836127</v>
      </c>
      <c r="AC181" s="178"/>
      <c r="AD181" s="178">
        <f t="shared" si="277"/>
        <v>0.51263695467500703</v>
      </c>
      <c r="AE181" s="560">
        <f t="shared" si="278"/>
        <v>2702.4307183176206</v>
      </c>
      <c r="AF181" s="543">
        <f t="shared" si="279"/>
        <v>7.3563402995863503E-2</v>
      </c>
      <c r="AH181" s="178">
        <f t="shared" si="280"/>
        <v>3.0069307695823699</v>
      </c>
      <c r="AI181" s="178">
        <f t="shared" si="281"/>
        <v>4.0999999999999996</v>
      </c>
      <c r="AJ181" s="178">
        <f t="shared" si="282"/>
        <v>3.6296296296296298</v>
      </c>
      <c r="AL181" s="560">
        <f t="shared" si="283"/>
        <v>568</v>
      </c>
      <c r="AM181" s="470">
        <f t="shared" si="284"/>
        <v>173.85034662550134</v>
      </c>
      <c r="AO181" t="str">
        <f t="shared" si="285"/>
        <v/>
      </c>
      <c r="AP181" t="str">
        <f t="shared" si="286"/>
        <v/>
      </c>
      <c r="AR181" s="6">
        <f t="shared" si="214"/>
        <v>5.752073662263923</v>
      </c>
      <c r="AS181" s="6">
        <f t="shared" si="291"/>
        <v>3.1888888888888887</v>
      </c>
      <c r="AT181" s="6">
        <f t="shared" si="292"/>
        <v>2.5631847733750344</v>
      </c>
      <c r="AU181" s="178">
        <f t="shared" si="293"/>
        <v>0.55438943868354318</v>
      </c>
      <c r="AW181" s="6">
        <f>L*Iout^2/(2*Vripple1_spec*Vout*Npri_sec1^2)*1000000000*((1+N181)/(1-N181))^2</f>
        <v>21.552126200274348</v>
      </c>
      <c r="AX181" s="6">
        <f>L*F181^2/(2*Cout*Vout*Nps^2)*1000000000*((1+N181)/(1-N181))^2+F181*RCoutEsr</f>
        <v>29.442962087382885</v>
      </c>
      <c r="AY181" s="6">
        <f>L*Iout2^2/(2*Vout_ripple2*Vout2*Npri_sec2^2)*1000000000*((1+N181)/(1-N181))^2</f>
        <v>8.4187992969821668</v>
      </c>
      <c r="AZ181" s="6">
        <f>L*G181^2/(2*Cout2*Vout2*Npri_sec2^2)*1000000000*((1+N181)/(1-N181))^2+G181*CoutEsr2</f>
        <v>11.900532065383938</v>
      </c>
      <c r="BA181" s="6">
        <f>(H181+I181)/Efficiency/J181*AT181/Vinripple1</f>
        <v>4.9191829412868744</v>
      </c>
      <c r="BB181" s="6"/>
      <c r="BC181" s="6"/>
      <c r="BD181" s="178">
        <f t="shared" si="235"/>
        <v>1.7625064032290643</v>
      </c>
      <c r="BE181" s="178">
        <f t="shared" si="236"/>
        <v>1.5801596476020641</v>
      </c>
      <c r="BF181" s="178">
        <f t="shared" si="237"/>
        <v>0.98759977975128987</v>
      </c>
      <c r="BG181" s="178"/>
      <c r="BH181" s="543">
        <f t="shared" si="238"/>
        <v>0.34170717035657983</v>
      </c>
      <c r="BI181" s="543">
        <f t="shared" si="239"/>
        <v>7.5733557248734013E-2</v>
      </c>
      <c r="BJ181" s="543">
        <f t="shared" si="240"/>
        <v>8.6925173312750667E-3</v>
      </c>
      <c r="BK181" s="543">
        <f t="shared" si="241"/>
        <v>1.7663466858317538E-2</v>
      </c>
      <c r="BL181">
        <f t="shared" si="242"/>
        <v>2.6099999999999999E-3</v>
      </c>
      <c r="BM181" s="470">
        <f t="shared" si="243"/>
        <v>446.40671179490641</v>
      </c>
      <c r="BN181" s="178">
        <f t="shared" si="244"/>
        <v>0.22719999999999999</v>
      </c>
      <c r="BO181" s="178">
        <f t="shared" si="245"/>
        <v>0.14199999999999999</v>
      </c>
      <c r="BP181" s="543"/>
      <c r="BR181" s="470">
        <f t="shared" si="246"/>
        <v>369.2</v>
      </c>
      <c r="BS181" s="543">
        <f t="shared" si="247"/>
        <v>0.12425715285693813</v>
      </c>
      <c r="BT181" s="543">
        <f t="shared" si="248"/>
        <v>9.9876180476395168E-2</v>
      </c>
      <c r="BU181" s="543">
        <f t="shared" si="249"/>
        <v>2.9260599748943888E-2</v>
      </c>
      <c r="BV181" s="543">
        <f t="shared" si="250"/>
        <v>0</v>
      </c>
      <c r="BW181" s="648">
        <f t="shared" si="287"/>
        <v>0.10959091225405043</v>
      </c>
      <c r="BX181" s="470">
        <f t="shared" si="251"/>
        <v>362.98484533632762</v>
      </c>
      <c r="BY181" s="178">
        <f t="shared" si="252"/>
        <v>1.178591557131234</v>
      </c>
      <c r="BZ181" s="6">
        <f t="shared" si="253"/>
        <v>11.075999999999999</v>
      </c>
      <c r="CA181" s="178">
        <f t="shared" si="254"/>
        <v>0.90382449291462641</v>
      </c>
      <c r="CB181" s="6">
        <f t="shared" si="255"/>
        <v>90.382449291462635</v>
      </c>
      <c r="CC181">
        <f t="shared" si="256"/>
        <v>70.999999999999986</v>
      </c>
      <c r="CE181" s="577">
        <f t="shared" si="288"/>
        <v>-50</v>
      </c>
      <c r="CF181">
        <f t="shared" si="289"/>
        <v>-50</v>
      </c>
    </row>
    <row r="182" spans="5:84" x14ac:dyDescent="0.2">
      <c r="E182" s="175">
        <v>72</v>
      </c>
      <c r="F182" s="222">
        <f t="shared" si="290"/>
        <v>0.57599999999999996</v>
      </c>
      <c r="G182" s="222">
        <f t="shared" si="257"/>
        <v>0.36</v>
      </c>
      <c r="H182" s="222">
        <f t="shared" si="258"/>
        <v>6.911999999999999</v>
      </c>
      <c r="I182" s="222">
        <f t="shared" si="259"/>
        <v>4.32</v>
      </c>
      <c r="J182" s="556">
        <f t="shared" si="260"/>
        <v>9</v>
      </c>
      <c r="K182" s="452">
        <f t="shared" si="261"/>
        <v>11.044966063348413</v>
      </c>
      <c r="L182" s="452">
        <f t="shared" si="262"/>
        <v>21.25</v>
      </c>
      <c r="M182" s="452"/>
      <c r="N182" s="222">
        <f t="shared" si="263"/>
        <v>0.57647058823529407</v>
      </c>
      <c r="O182" s="177">
        <f t="shared" si="264"/>
        <v>6.2179004524886858</v>
      </c>
      <c r="P182" s="177">
        <f t="shared" si="265"/>
        <v>6.3150551470588203</v>
      </c>
      <c r="Q182" s="222">
        <f t="shared" si="266"/>
        <v>0.51815837104072382</v>
      </c>
      <c r="R182" s="222">
        <f t="shared" si="267"/>
        <v>0.51815837104072382</v>
      </c>
      <c r="S182" s="222">
        <f t="shared" si="268"/>
        <v>10.794966063348413</v>
      </c>
      <c r="T182" s="222">
        <f t="shared" si="269"/>
        <v>4.0999999999999996</v>
      </c>
      <c r="U182" s="222">
        <f t="shared" si="270"/>
        <v>3.1888888888888887</v>
      </c>
      <c r="V182" s="222">
        <f t="shared" si="271"/>
        <v>2.5984688260145954</v>
      </c>
      <c r="W182" s="202">
        <f t="shared" si="272"/>
        <v>350</v>
      </c>
      <c r="X182" s="452">
        <f t="shared" si="273"/>
        <v>172.79042514078932</v>
      </c>
      <c r="Z182" s="222">
        <f t="shared" si="274"/>
        <v>2.0241164087921031</v>
      </c>
      <c r="AA182" s="178">
        <f t="shared" si="275"/>
        <v>1.2828300947489988</v>
      </c>
      <c r="AB182" s="178">
        <f t="shared" si="276"/>
        <v>0.27963357094332986</v>
      </c>
      <c r="AC182" s="178"/>
      <c r="AD182" s="178">
        <f t="shared" si="277"/>
        <v>0.51969376520291899</v>
      </c>
      <c r="AE182" s="560">
        <f t="shared" si="278"/>
        <v>2703.2805525999347</v>
      </c>
      <c r="AF182" s="543">
        <f t="shared" si="279"/>
        <v>7.4576055306618871E-2</v>
      </c>
      <c r="AH182" s="178">
        <f t="shared" si="280"/>
        <v>3.02803229702669</v>
      </c>
      <c r="AI182" s="178">
        <f t="shared" si="281"/>
        <v>4.0999999999999996</v>
      </c>
      <c r="AJ182" s="178">
        <f t="shared" si="282"/>
        <v>3.6296296296296298</v>
      </c>
      <c r="AL182" s="560">
        <f t="shared" si="283"/>
        <v>576</v>
      </c>
      <c r="AM182" s="470">
        <f t="shared" si="284"/>
        <v>172.79042514078932</v>
      </c>
      <c r="AO182" t="str">
        <f t="shared" si="285"/>
        <v/>
      </c>
      <c r="AP182" t="str">
        <f t="shared" si="286"/>
        <v/>
      </c>
      <c r="AR182" s="6">
        <f t="shared" si="214"/>
        <v>5.7873577149034832</v>
      </c>
      <c r="AS182" s="6">
        <f t="shared" si="291"/>
        <v>3.1888888888888887</v>
      </c>
      <c r="AT182" s="6">
        <f t="shared" si="292"/>
        <v>2.5984688260145945</v>
      </c>
      <c r="AU182" s="178">
        <f t="shared" si="293"/>
        <v>0.55100946683785046</v>
      </c>
      <c r="AW182" s="6">
        <f>L*Iout^2/(2*Vripple1_spec*Vout*Npri_sec1^2)*1000000000*((1+N182)/(1-N182))^2</f>
        <v>21.552126200274348</v>
      </c>
      <c r="AX182" s="6">
        <f>L*F182^2/(2*Cout*Vout*Nps^2)*1000000000*((1+N182)/(1-N182))^2+F182*RCoutEsr</f>
        <v>30.253843971631198</v>
      </c>
      <c r="AY182" s="6">
        <f>L*Iout2^2/(2*Vout_ripple2*Vout2*Npri_sec2^2)*1000000000*((1+N182)/(1-N182))^2</f>
        <v>8.4187992969821668</v>
      </c>
      <c r="AZ182" s="6">
        <f>L*G182^2/(2*Cout2*Vout2*Npri_sec2^2)*1000000000*((1+N182)/(1-N182))^2+G182*CoutEsr2</f>
        <v>12.222907801418437</v>
      </c>
      <c r="BA182" s="6">
        <f>(H182+I182)/Efficiency/J182*AT182/Vinripple1</f>
        <v>5.0571369900447776</v>
      </c>
      <c r="BB182" s="6"/>
      <c r="BC182" s="6"/>
      <c r="BD182" s="178">
        <f t="shared" si="235"/>
        <v>1.7571254117207329</v>
      </c>
      <c r="BE182" s="178">
        <f t="shared" si="236"/>
        <v>1.5861411099957587</v>
      </c>
      <c r="BF182" s="178">
        <f t="shared" si="237"/>
        <v>0.99133819374734899</v>
      </c>
      <c r="BG182" s="178"/>
      <c r="BH182" s="543">
        <f t="shared" si="238"/>
        <v>0.33962386837662306</v>
      </c>
      <c r="BI182" s="543">
        <f t="shared" si="239"/>
        <v>7.5271828951956346E-2</v>
      </c>
      <c r="BJ182" s="543">
        <f t="shared" si="240"/>
        <v>8.6395212570394668E-3</v>
      </c>
      <c r="BK182" s="543">
        <f t="shared" si="241"/>
        <v>1.7555777179343479E-2</v>
      </c>
      <c r="BL182">
        <f t="shared" si="242"/>
        <v>2.6099999999999999E-3</v>
      </c>
      <c r="BM182" s="470">
        <f t="shared" si="243"/>
        <v>443.70099576496239</v>
      </c>
      <c r="BN182" s="178">
        <f t="shared" si="244"/>
        <v>0.23039999999999999</v>
      </c>
      <c r="BO182" s="178">
        <f t="shared" si="245"/>
        <v>0.14399999999999999</v>
      </c>
      <c r="BP182" s="543"/>
      <c r="BR182" s="470">
        <f t="shared" si="246"/>
        <v>374.4</v>
      </c>
      <c r="BS182" s="543">
        <f t="shared" si="247"/>
        <v>0.1234995885005902</v>
      </c>
      <c r="BT182" s="543">
        <f t="shared" si="248"/>
        <v>0.10063374483274311</v>
      </c>
      <c r="BU182" s="543">
        <f t="shared" si="249"/>
        <v>2.9482542431467692E-2</v>
      </c>
      <c r="BV182" s="543">
        <f t="shared" si="250"/>
        <v>0</v>
      </c>
      <c r="BW182" s="648">
        <f t="shared" si="287"/>
        <v>0.10892276424812508</v>
      </c>
      <c r="BX182" s="470">
        <f t="shared" si="251"/>
        <v>362.53864001292607</v>
      </c>
      <c r="BY182" s="178">
        <f t="shared" si="252"/>
        <v>1.1806396357778883</v>
      </c>
      <c r="BZ182" s="6">
        <f t="shared" si="253"/>
        <v>11.231999999999999</v>
      </c>
      <c r="CA182" s="178">
        <f t="shared" si="254"/>
        <v>0.90488408022618805</v>
      </c>
      <c r="CB182" s="6">
        <f t="shared" si="255"/>
        <v>90.488408022618799</v>
      </c>
      <c r="CC182">
        <f t="shared" si="256"/>
        <v>71.999999999999986</v>
      </c>
      <c r="CE182" s="577">
        <f t="shared" si="288"/>
        <v>-50</v>
      </c>
      <c r="CF182">
        <f t="shared" si="289"/>
        <v>-50</v>
      </c>
    </row>
    <row r="183" spans="5:84" x14ac:dyDescent="0.2">
      <c r="E183" s="175">
        <v>73</v>
      </c>
      <c r="F183" s="222">
        <f t="shared" si="290"/>
        <v>0.58399999999999996</v>
      </c>
      <c r="G183" s="222">
        <f t="shared" si="257"/>
        <v>0.36499999999999999</v>
      </c>
      <c r="H183" s="222">
        <f t="shared" si="258"/>
        <v>7.0079999999999991</v>
      </c>
      <c r="I183" s="222">
        <f t="shared" si="259"/>
        <v>4.38</v>
      </c>
      <c r="J183" s="556">
        <f t="shared" si="260"/>
        <v>9</v>
      </c>
      <c r="K183" s="452">
        <f t="shared" si="261"/>
        <v>10.897089815905284</v>
      </c>
      <c r="L183" s="452">
        <f t="shared" si="262"/>
        <v>21.25</v>
      </c>
      <c r="M183" s="452"/>
      <c r="N183" s="222">
        <f t="shared" si="263"/>
        <v>0.57647058823529407</v>
      </c>
      <c r="O183" s="177">
        <f t="shared" si="264"/>
        <v>6.2179004524886858</v>
      </c>
      <c r="P183" s="177">
        <f t="shared" si="265"/>
        <v>6.3150551470588203</v>
      </c>
      <c r="Q183" s="222">
        <f t="shared" si="266"/>
        <v>0.51815837104072382</v>
      </c>
      <c r="R183" s="222">
        <f t="shared" si="267"/>
        <v>0.51815837104072382</v>
      </c>
      <c r="S183" s="222">
        <f t="shared" si="268"/>
        <v>10.647089815905284</v>
      </c>
      <c r="T183" s="222">
        <f t="shared" si="269"/>
        <v>4.0999999999999996</v>
      </c>
      <c r="U183" s="222">
        <f t="shared" si="270"/>
        <v>3.1888888888888887</v>
      </c>
      <c r="V183" s="222">
        <f t="shared" si="271"/>
        <v>2.633730701027146</v>
      </c>
      <c r="W183" s="202">
        <f t="shared" si="272"/>
        <v>350</v>
      </c>
      <c r="X183" s="452">
        <f t="shared" si="273"/>
        <v>171.74400363229302</v>
      </c>
      <c r="Z183" s="222">
        <f t="shared" si="274"/>
        <v>2.0118583282640037</v>
      </c>
      <c r="AA183" s="178">
        <f t="shared" si="275"/>
        <v>1.2923641573819651</v>
      </c>
      <c r="AB183" s="178">
        <f t="shared" si="276"/>
        <v>0.28000577157310136</v>
      </c>
      <c r="AC183" s="178"/>
      <c r="AD183" s="178">
        <f t="shared" si="277"/>
        <v>0.5267461402054292</v>
      </c>
      <c r="AE183" s="560">
        <f t="shared" si="278"/>
        <v>2704.1303868822497</v>
      </c>
      <c r="AF183" s="543">
        <f t="shared" si="279"/>
        <v>7.5588071119479086E-2</v>
      </c>
      <c r="AH183" s="178">
        <f t="shared" si="280"/>
        <v>3.0489877878752223</v>
      </c>
      <c r="AI183" s="178">
        <f t="shared" si="281"/>
        <v>4.0999999999999996</v>
      </c>
      <c r="AJ183" s="178">
        <f t="shared" si="282"/>
        <v>3.6296296296296298</v>
      </c>
      <c r="AL183" s="560">
        <f t="shared" si="283"/>
        <v>584</v>
      </c>
      <c r="AM183" s="470">
        <f t="shared" si="284"/>
        <v>171.74400363229302</v>
      </c>
      <c r="AO183" t="str">
        <f t="shared" si="285"/>
        <v/>
      </c>
      <c r="AP183" t="str">
        <f t="shared" si="286"/>
        <v/>
      </c>
      <c r="AR183" s="6">
        <f t="shared" si="214"/>
        <v>5.8226195899160356</v>
      </c>
      <c r="AS183" s="6">
        <f t="shared" si="291"/>
        <v>3.1888888888888887</v>
      </c>
      <c r="AT183" s="6">
        <f t="shared" si="292"/>
        <v>2.6337307010271469</v>
      </c>
      <c r="AU183" s="178">
        <f t="shared" si="293"/>
        <v>0.54767254491631212</v>
      </c>
      <c r="AW183" s="6">
        <f>L*Iout^2/(2*Vripple1_spec*Vout*Npri_sec1^2)*1000000000*((1+N183)/(1-N183))^2</f>
        <v>21.552126200274348</v>
      </c>
      <c r="AX183" s="6">
        <f>L*F183^2/(2*Cout*Vout*Nps^2)*1000000000*((1+N183)/(1-N183))^2+F183*RCoutEsr</f>
        <v>31.075731196917946</v>
      </c>
      <c r="AY183" s="6">
        <f>L*Iout2^2/(2*Vout_ripple2*Vout2*Npri_sec2^2)*1000000000*((1+N183)/(1-N183))^2</f>
        <v>8.4187992969821668</v>
      </c>
      <c r="AZ183" s="6">
        <f>L*G183^2/(2*Cout2*Vout2*Npri_sec2^2)*1000000000*((1+N183)/(1-N183))^2+G183*CoutEsr2</f>
        <v>12.549582498796074</v>
      </c>
      <c r="BA183" s="6">
        <f>(H183+I183)/Efficiency/J183*AT183/Vinripple1</f>
        <v>5.1969547712015851</v>
      </c>
      <c r="BB183" s="6"/>
      <c r="BC183" s="6"/>
      <c r="BD183" s="178">
        <f t="shared" si="235"/>
        <v>1.7517967423993768</v>
      </c>
      <c r="BE183" s="178">
        <f t="shared" si="236"/>
        <v>1.5920243423554379</v>
      </c>
      <c r="BF183" s="178">
        <f t="shared" si="237"/>
        <v>0.99501521397214854</v>
      </c>
      <c r="BG183" s="178"/>
      <c r="BH183" s="543">
        <f t="shared" si="238"/>
        <v>0.33756710093491754</v>
      </c>
      <c r="BI183" s="543">
        <f t="shared" si="239"/>
        <v>7.4815981582317628E-2</v>
      </c>
      <c r="BJ183" s="543">
        <f t="shared" si="240"/>
        <v>8.5872001816146501E-3</v>
      </c>
      <c r="BK183" s="543">
        <f t="shared" si="241"/>
        <v>1.7449459119046645E-2</v>
      </c>
      <c r="BL183">
        <f t="shared" si="242"/>
        <v>2.6099999999999999E-3</v>
      </c>
      <c r="BM183" s="470">
        <f t="shared" si="243"/>
        <v>441.02974181789642</v>
      </c>
      <c r="BN183" s="178">
        <f t="shared" si="244"/>
        <v>0.2336</v>
      </c>
      <c r="BO183" s="178">
        <f t="shared" si="245"/>
        <v>0.14599999999999999</v>
      </c>
      <c r="BP183" s="543"/>
      <c r="BR183" s="470">
        <f t="shared" si="246"/>
        <v>379.59999999999997</v>
      </c>
      <c r="BS183" s="543">
        <f t="shared" si="247"/>
        <v>0.12275167306724274</v>
      </c>
      <c r="BT183" s="543">
        <f t="shared" si="248"/>
        <v>0.10138166026609058</v>
      </c>
      <c r="BU183" s="543">
        <f t="shared" si="249"/>
        <v>2.9701658281081213E-2</v>
      </c>
      <c r="BV183" s="543">
        <f t="shared" si="250"/>
        <v>0</v>
      </c>
      <c r="BW183" s="648">
        <f t="shared" si="287"/>
        <v>0.10826312628970672</v>
      </c>
      <c r="BX183" s="470">
        <f t="shared" si="251"/>
        <v>362.0981179041213</v>
      </c>
      <c r="BY183" s="178">
        <f t="shared" si="252"/>
        <v>1.1827278597220177</v>
      </c>
      <c r="BZ183" s="6">
        <f t="shared" si="253"/>
        <v>11.387999999999998</v>
      </c>
      <c r="CA183" s="178">
        <f t="shared" si="254"/>
        <v>0.9059141305960805</v>
      </c>
      <c r="CB183" s="6">
        <f t="shared" si="255"/>
        <v>90.591413059608044</v>
      </c>
      <c r="CC183">
        <f t="shared" si="256"/>
        <v>72.999999999999986</v>
      </c>
      <c r="CE183" s="577">
        <f t="shared" si="288"/>
        <v>-50</v>
      </c>
      <c r="CF183">
        <f t="shared" si="289"/>
        <v>-50</v>
      </c>
    </row>
    <row r="184" spans="5:84" x14ac:dyDescent="0.2">
      <c r="E184" s="175">
        <v>74</v>
      </c>
      <c r="F184" s="222">
        <f t="shared" si="290"/>
        <v>0.59199999999999997</v>
      </c>
      <c r="G184" s="222">
        <f t="shared" si="257"/>
        <v>0.37</v>
      </c>
      <c r="H184" s="222">
        <f t="shared" si="258"/>
        <v>7.1039999999999992</v>
      </c>
      <c r="I184" s="222">
        <f t="shared" si="259"/>
        <v>4.4399999999999995</v>
      </c>
      <c r="J184" s="556">
        <f t="shared" si="260"/>
        <v>9</v>
      </c>
      <c r="K184" s="452">
        <f t="shared" si="261"/>
        <v>10.753210223798456</v>
      </c>
      <c r="L184" s="452">
        <f t="shared" si="262"/>
        <v>21.25</v>
      </c>
      <c r="M184" s="452"/>
      <c r="N184" s="222">
        <f t="shared" si="263"/>
        <v>0.57647058823529407</v>
      </c>
      <c r="O184" s="177">
        <f t="shared" si="264"/>
        <v>6.2179004524886858</v>
      </c>
      <c r="P184" s="177">
        <f t="shared" si="265"/>
        <v>6.3150551470588203</v>
      </c>
      <c r="Q184" s="222">
        <f t="shared" si="266"/>
        <v>0.51815837104072382</v>
      </c>
      <c r="R184" s="222">
        <f t="shared" si="267"/>
        <v>0.51815837104072382</v>
      </c>
      <c r="S184" s="222">
        <f t="shared" si="268"/>
        <v>10.503210223798456</v>
      </c>
      <c r="T184" s="222">
        <f t="shared" si="269"/>
        <v>4.0999999999999996</v>
      </c>
      <c r="U184" s="222">
        <f t="shared" si="270"/>
        <v>3.1888888888888887</v>
      </c>
      <c r="V184" s="222">
        <f t="shared" si="271"/>
        <v>2.6689704193155843</v>
      </c>
      <c r="W184" s="202">
        <f t="shared" si="272"/>
        <v>350</v>
      </c>
      <c r="X184" s="452">
        <f t="shared" si="273"/>
        <v>170.71082581300777</v>
      </c>
      <c r="Z184" s="222">
        <f t="shared" si="274"/>
        <v>1.9997553880952335</v>
      </c>
      <c r="AA184" s="178">
        <f t="shared" si="275"/>
        <v>1.3017775552910085</v>
      </c>
      <c r="AB184" s="178">
        <f t="shared" si="276"/>
        <v>0.28034856557019144</v>
      </c>
      <c r="AC184" s="178"/>
      <c r="AD184" s="178">
        <f t="shared" si="277"/>
        <v>0.533794083863117</v>
      </c>
      <c r="AE184" s="560">
        <f t="shared" si="278"/>
        <v>2704.9802211645642</v>
      </c>
      <c r="AF184" s="543">
        <f t="shared" si="279"/>
        <v>7.6599451034357294E-2</v>
      </c>
      <c r="AH184" s="178">
        <f t="shared" si="280"/>
        <v>3.0698002328144667</v>
      </c>
      <c r="AI184" s="178">
        <f t="shared" si="281"/>
        <v>4.0999999999999996</v>
      </c>
      <c r="AJ184" s="178">
        <f t="shared" si="282"/>
        <v>3.6296296296296298</v>
      </c>
      <c r="AL184" s="560">
        <f t="shared" si="283"/>
        <v>592</v>
      </c>
      <c r="AM184" s="470">
        <f t="shared" si="284"/>
        <v>170.71082581300777</v>
      </c>
      <c r="AO184" t="str">
        <f t="shared" si="285"/>
        <v/>
      </c>
      <c r="AP184" t="str">
        <f t="shared" si="286"/>
        <v/>
      </c>
      <c r="AR184" s="6">
        <f t="shared" si="214"/>
        <v>5.857859308204473</v>
      </c>
      <c r="AS184" s="6">
        <f t="shared" si="291"/>
        <v>3.1888888888888887</v>
      </c>
      <c r="AT184" s="6">
        <f t="shared" si="292"/>
        <v>2.6689704193155843</v>
      </c>
      <c r="AU184" s="178">
        <f t="shared" si="293"/>
        <v>0.544377855648147</v>
      </c>
      <c r="AW184" s="6">
        <f>L*Iout^2/(2*Vripple1_spec*Vout*Npri_sec1^2)*1000000000*((1+N184)/(1-N184))^2</f>
        <v>21.552126200274348</v>
      </c>
      <c r="AX184" s="6">
        <f>L*F184^2/(2*Cout*Vout*Nps^2)*1000000000*((1+N184)/(1-N184))^2+F184*RCoutEsr</f>
        <v>31.908623763243142</v>
      </c>
      <c r="AY184" s="6">
        <f>L*Iout2^2/(2*Vout_ripple2*Vout2*Npri_sec2^2)*1000000000*((1+N184)/(1-N184))^2</f>
        <v>8.4187992969821668</v>
      </c>
      <c r="AZ184" s="6">
        <f>L*G184^2/(2*Cout2*Vout2*Npri_sec2^2)*1000000000*((1+N184)/(1-N184))^2+G184*CoutEsr2</f>
        <v>12.880556157516853</v>
      </c>
      <c r="BA184" s="6">
        <f>(H184+I184)/Efficiency/J184*AT184/Vinripple1</f>
        <v>5.3386345281488596</v>
      </c>
      <c r="BB184" s="6"/>
      <c r="BC184" s="6"/>
      <c r="BD184" s="178">
        <f t="shared" si="235"/>
        <v>1.7465195631546138</v>
      </c>
      <c r="BE184" s="178">
        <f t="shared" si="236"/>
        <v>1.5978118627834597</v>
      </c>
      <c r="BF184" s="178">
        <f t="shared" si="237"/>
        <v>0.99863241423966209</v>
      </c>
      <c r="BG184" s="178"/>
      <c r="BH184" s="543">
        <f t="shared" si="238"/>
        <v>0.3355363642929961</v>
      </c>
      <c r="BI184" s="543">
        <f t="shared" si="239"/>
        <v>7.4365903494791497E-2</v>
      </c>
      <c r="BJ184" s="543">
        <f t="shared" si="240"/>
        <v>8.5355412906503881E-3</v>
      </c>
      <c r="BK184" s="543">
        <f t="shared" si="241"/>
        <v>1.7344486638266925E-2</v>
      </c>
      <c r="BL184">
        <f t="shared" si="242"/>
        <v>2.6099999999999999E-3</v>
      </c>
      <c r="BM184" s="470">
        <f t="shared" si="243"/>
        <v>438.39229571670489</v>
      </c>
      <c r="BN184" s="178">
        <f t="shared" si="244"/>
        <v>0.23680000000000001</v>
      </c>
      <c r="BO184" s="178">
        <f t="shared" si="245"/>
        <v>0.14799999999999999</v>
      </c>
      <c r="BP184" s="543"/>
      <c r="BR184" s="470">
        <f t="shared" si="246"/>
        <v>384.8</v>
      </c>
      <c r="BS184" s="543">
        <f t="shared" si="247"/>
        <v>0.12201322337927131</v>
      </c>
      <c r="BT184" s="543">
        <f t="shared" si="248"/>
        <v>0.10212010995406198</v>
      </c>
      <c r="BU184" s="543">
        <f t="shared" si="249"/>
        <v>2.9918000963104083E-2</v>
      </c>
      <c r="BV184" s="543">
        <f t="shared" si="250"/>
        <v>0</v>
      </c>
      <c r="BW184" s="648">
        <f t="shared" si="287"/>
        <v>0.10761183682187478</v>
      </c>
      <c r="BX184" s="470">
        <f t="shared" si="251"/>
        <v>361.66317111831216</v>
      </c>
      <c r="BY184" s="178">
        <f t="shared" si="252"/>
        <v>1.1848554668350173</v>
      </c>
      <c r="BZ184" s="6">
        <f t="shared" si="253"/>
        <v>11.543999999999999</v>
      </c>
      <c r="CA184" s="178">
        <f t="shared" si="254"/>
        <v>0.90691578909650172</v>
      </c>
      <c r="CB184" s="6">
        <f t="shared" si="255"/>
        <v>90.691578909650175</v>
      </c>
      <c r="CC184">
        <f t="shared" si="256"/>
        <v>73.999999999999986</v>
      </c>
      <c r="CE184" s="577">
        <f t="shared" si="288"/>
        <v>-50</v>
      </c>
      <c r="CF184">
        <f t="shared" si="289"/>
        <v>-50</v>
      </c>
    </row>
    <row r="185" spans="5:84" x14ac:dyDescent="0.2">
      <c r="E185" s="175">
        <v>75</v>
      </c>
      <c r="F185" s="222">
        <f t="shared" si="290"/>
        <v>0.60000000000000009</v>
      </c>
      <c r="G185" s="222">
        <f t="shared" si="257"/>
        <v>0.375</v>
      </c>
      <c r="H185" s="222">
        <f t="shared" si="258"/>
        <v>7.2000000000000011</v>
      </c>
      <c r="I185" s="222">
        <f t="shared" si="259"/>
        <v>4.5</v>
      </c>
      <c r="J185" s="556">
        <f t="shared" si="260"/>
        <v>9</v>
      </c>
      <c r="K185" s="452">
        <f t="shared" si="261"/>
        <v>10.613167420814476</v>
      </c>
      <c r="L185" s="452">
        <f t="shared" si="262"/>
        <v>21.25</v>
      </c>
      <c r="M185" s="452"/>
      <c r="N185" s="222">
        <f t="shared" si="263"/>
        <v>0.57647058823529407</v>
      </c>
      <c r="O185" s="177">
        <f t="shared" si="264"/>
        <v>6.2179004524886858</v>
      </c>
      <c r="P185" s="177">
        <f t="shared" si="265"/>
        <v>6.3150551470588203</v>
      </c>
      <c r="Q185" s="222">
        <f t="shared" si="266"/>
        <v>0.51815837104072382</v>
      </c>
      <c r="R185" s="222">
        <f t="shared" si="267"/>
        <v>0.51815837104072382</v>
      </c>
      <c r="S185" s="222">
        <f t="shared" si="268"/>
        <v>10.363167420814476</v>
      </c>
      <c r="T185" s="222">
        <f t="shared" si="269"/>
        <v>4.0999999999999996</v>
      </c>
      <c r="U185" s="222">
        <f t="shared" si="270"/>
        <v>3.1888888888888887</v>
      </c>
      <c r="V185" s="222">
        <f t="shared" si="271"/>
        <v>2.7041880017565485</v>
      </c>
      <c r="W185" s="202">
        <f t="shared" si="272"/>
        <v>350</v>
      </c>
      <c r="X185" s="452">
        <f t="shared" si="273"/>
        <v>169.69064184235944</v>
      </c>
      <c r="Z185" s="222">
        <f t="shared" si="274"/>
        <v>1.9878046615819247</v>
      </c>
      <c r="AA185" s="178">
        <f t="shared" si="275"/>
        <v>1.3110725648013604</v>
      </c>
      <c r="AB185" s="178">
        <f t="shared" si="276"/>
        <v>0.28066297064446466</v>
      </c>
      <c r="AC185" s="178"/>
      <c r="AD185" s="178">
        <f t="shared" si="277"/>
        <v>0.54083760035130968</v>
      </c>
      <c r="AE185" s="560">
        <f t="shared" si="278"/>
        <v>2705.8300554468801</v>
      </c>
      <c r="AF185" s="543">
        <f t="shared" si="279"/>
        <v>7.7610195650412925E-2</v>
      </c>
      <c r="AH185" s="178">
        <f t="shared" si="280"/>
        <v>3.0904725218262765</v>
      </c>
      <c r="AI185" s="178">
        <f t="shared" si="281"/>
        <v>4.0999999999999996</v>
      </c>
      <c r="AJ185" s="178">
        <f t="shared" si="282"/>
        <v>3.6296296296296298</v>
      </c>
      <c r="AL185" s="560">
        <f t="shared" si="283"/>
        <v>600.00000000000011</v>
      </c>
      <c r="AM185" s="470">
        <f t="shared" si="284"/>
        <v>169.69064184235944</v>
      </c>
      <c r="AO185" t="str">
        <f t="shared" si="285"/>
        <v/>
      </c>
      <c r="AP185" t="str">
        <f t="shared" si="286"/>
        <v/>
      </c>
      <c r="AR185" s="6">
        <f t="shared" si="214"/>
        <v>5.8930768906454363</v>
      </c>
      <c r="AS185" s="6">
        <f t="shared" si="291"/>
        <v>3.1888888888888887</v>
      </c>
      <c r="AT185" s="6">
        <f t="shared" si="292"/>
        <v>2.7041880017565476</v>
      </c>
      <c r="AU185" s="178">
        <f t="shared" si="293"/>
        <v>0.54112460231952397</v>
      </c>
      <c r="AW185" s="6">
        <f>L*Iout^2/(2*Vripple1_spec*Vout*Npri_sec1^2)*1000000000*((1+N185)/(1-N185))^2</f>
        <v>21.552126200274348</v>
      </c>
      <c r="AX185" s="6">
        <f>L*F185^2/(2*Cout*Vout*Nps^2)*1000000000*((1+N185)/(1-N185))^2+F185*RCoutEsr</f>
        <v>32.752521670606775</v>
      </c>
      <c r="AY185" s="6">
        <f>L*Iout2^2/(2*Vout_ripple2*Vout2*Npri_sec2^2)*1000000000*((1+N185)/(1-N185))^2</f>
        <v>8.4187992969821668</v>
      </c>
      <c r="AZ185" s="6">
        <f>L*G185^2/(2*Cout2*Vout2*Npri_sec2^2)*1000000000*((1+N185)/(1-N185))^2+G185*CoutEsr2</f>
        <v>13.215828777580771</v>
      </c>
      <c r="BA185" s="6">
        <f>(H185+I185)/Efficiency/J185*AT185/Vinripple1</f>
        <v>5.4821745064850091</v>
      </c>
      <c r="BB185" s="6"/>
      <c r="BC185" s="6"/>
      <c r="BD185" s="178">
        <f t="shared" si="235"/>
        <v>1.7412930602468191</v>
      </c>
      <c r="BE185" s="178">
        <f t="shared" si="236"/>
        <v>1.6035060996671016</v>
      </c>
      <c r="BF185" s="178">
        <f t="shared" si="237"/>
        <v>1.0021913122919384</v>
      </c>
      <c r="BG185" s="178"/>
      <c r="BH185" s="543">
        <f t="shared" si="238"/>
        <v>0.33353116738301053</v>
      </c>
      <c r="BI185" s="543">
        <f t="shared" si="239"/>
        <v>7.3921485852577823E-2</v>
      </c>
      <c r="BJ185" s="543">
        <f t="shared" si="240"/>
        <v>8.4845320921179707E-3</v>
      </c>
      <c r="BK185" s="543">
        <f t="shared" si="241"/>
        <v>1.7240834352811596E-2</v>
      </c>
      <c r="BL185">
        <f t="shared" si="242"/>
        <v>2.6099999999999999E-3</v>
      </c>
      <c r="BM185" s="470">
        <f t="shared" si="243"/>
        <v>435.78801968051789</v>
      </c>
      <c r="BN185" s="178">
        <f t="shared" si="244"/>
        <v>0.24000000000000005</v>
      </c>
      <c r="BO185" s="178">
        <f t="shared" si="245"/>
        <v>0.15000000000000002</v>
      </c>
      <c r="BP185" s="543"/>
      <c r="BR185" s="470">
        <f t="shared" si="246"/>
        <v>390.00000000000006</v>
      </c>
      <c r="BS185" s="543">
        <f t="shared" si="247"/>
        <v>0.12128406086654929</v>
      </c>
      <c r="BT185" s="543">
        <f t="shared" si="248"/>
        <v>0.10284927246678402</v>
      </c>
      <c r="BU185" s="543">
        <f t="shared" si="249"/>
        <v>3.0131622793003125E-2</v>
      </c>
      <c r="BV185" s="543">
        <f t="shared" si="250"/>
        <v>0</v>
      </c>
      <c r="BW185" s="648">
        <f t="shared" si="287"/>
        <v>0.10696873835137735</v>
      </c>
      <c r="BX185" s="470">
        <f t="shared" si="251"/>
        <v>361.23369447771381</v>
      </c>
      <c r="BY185" s="178">
        <f t="shared" si="252"/>
        <v>1.1870217141582318</v>
      </c>
      <c r="BZ185" s="6">
        <f t="shared" si="253"/>
        <v>11.700000000000001</v>
      </c>
      <c r="CA185" s="178">
        <f t="shared" si="254"/>
        <v>0.90789014401565571</v>
      </c>
      <c r="CB185" s="6">
        <f t="shared" si="255"/>
        <v>90.789014401565566</v>
      </c>
      <c r="CC185">
        <f t="shared" si="256"/>
        <v>75.000000000000014</v>
      </c>
      <c r="CE185" s="577">
        <f t="shared" si="288"/>
        <v>-50</v>
      </c>
      <c r="CF185">
        <f t="shared" si="289"/>
        <v>-50</v>
      </c>
    </row>
    <row r="186" spans="5:84" x14ac:dyDescent="0.2">
      <c r="E186" s="175">
        <v>76</v>
      </c>
      <c r="F186" s="222">
        <f t="shared" si="290"/>
        <v>0.6080000000000001</v>
      </c>
      <c r="G186" s="222">
        <f t="shared" si="257"/>
        <v>0.38</v>
      </c>
      <c r="H186" s="222">
        <f t="shared" si="258"/>
        <v>7.2960000000000012</v>
      </c>
      <c r="I186" s="222">
        <f t="shared" si="259"/>
        <v>4.5600000000000005</v>
      </c>
      <c r="J186" s="556">
        <f t="shared" si="260"/>
        <v>9</v>
      </c>
      <c r="K186" s="452">
        <f t="shared" si="261"/>
        <v>10.476809954751126</v>
      </c>
      <c r="L186" s="452">
        <f t="shared" si="262"/>
        <v>21.25</v>
      </c>
      <c r="M186" s="452"/>
      <c r="N186" s="222">
        <f t="shared" si="263"/>
        <v>0.57647058823529407</v>
      </c>
      <c r="O186" s="177">
        <f t="shared" si="264"/>
        <v>6.2179004524886858</v>
      </c>
      <c r="P186" s="177">
        <f t="shared" si="265"/>
        <v>6.3150551470588203</v>
      </c>
      <c r="Q186" s="222">
        <f t="shared" si="266"/>
        <v>0.51815837104072382</v>
      </c>
      <c r="R186" s="222">
        <f t="shared" si="267"/>
        <v>0.51815837104072382</v>
      </c>
      <c r="S186" s="222">
        <f t="shared" si="268"/>
        <v>10.226809954751126</v>
      </c>
      <c r="T186" s="222">
        <f t="shared" si="269"/>
        <v>4.0999999999999996</v>
      </c>
      <c r="U186" s="222">
        <f t="shared" si="270"/>
        <v>3.1888888888888887</v>
      </c>
      <c r="V186" s="222">
        <f t="shared" si="271"/>
        <v>2.7393834692004546</v>
      </c>
      <c r="W186" s="202">
        <f t="shared" si="272"/>
        <v>350</v>
      </c>
      <c r="X186" s="452">
        <f t="shared" si="273"/>
        <v>168.68320812478589</v>
      </c>
      <c r="Z186" s="222">
        <f t="shared" si="274"/>
        <v>1.9760032951760629</v>
      </c>
      <c r="AA186" s="178">
        <f t="shared" si="275"/>
        <v>1.3202514053392522</v>
      </c>
      <c r="AB186" s="178">
        <f t="shared" si="276"/>
        <v>0.28094996756735896</v>
      </c>
      <c r="AC186" s="178"/>
      <c r="AD186" s="178">
        <f t="shared" si="277"/>
        <v>0.54787669384009086</v>
      </c>
      <c r="AE186" s="560">
        <f t="shared" si="278"/>
        <v>2706.6798897291947</v>
      </c>
      <c r="AF186" s="543">
        <f t="shared" si="279"/>
        <v>7.8620305566053039E-2</v>
      </c>
      <c r="AH186" s="178">
        <f t="shared" si="280"/>
        <v>3.1110074488722743</v>
      </c>
      <c r="AI186" s="178">
        <f t="shared" si="281"/>
        <v>4.0999999999999996</v>
      </c>
      <c r="AJ186" s="178">
        <f t="shared" si="282"/>
        <v>3.6296296296296298</v>
      </c>
      <c r="AL186" s="560">
        <f t="shared" si="283"/>
        <v>608.00000000000011</v>
      </c>
      <c r="AM186" s="470">
        <f t="shared" si="284"/>
        <v>168.68320812478589</v>
      </c>
      <c r="AO186" t="str">
        <f t="shared" si="285"/>
        <v/>
      </c>
      <c r="AP186" t="str">
        <f t="shared" si="286"/>
        <v/>
      </c>
      <c r="AR186" s="6">
        <f t="shared" si="214"/>
        <v>5.9282723580893437</v>
      </c>
      <c r="AS186" s="6">
        <f t="shared" si="291"/>
        <v>3.1888888888888887</v>
      </c>
      <c r="AT186" s="6">
        <f t="shared" si="292"/>
        <v>2.7393834692004551</v>
      </c>
      <c r="AU186" s="178">
        <f t="shared" si="293"/>
        <v>0.53791200813126161</v>
      </c>
      <c r="AW186" s="6">
        <f>L*Iout^2/(2*Vripple1_spec*Vout*Npri_sec1^2)*1000000000*((1+N186)/(1-N186))^2</f>
        <v>21.552126200274348</v>
      </c>
      <c r="AX186" s="6">
        <f>L*F186^2/(2*Cout*Vout*Nps^2)*1000000000*((1+N186)/(1-N186))^2+F186*RCoutEsr</f>
        <v>33.607424919008842</v>
      </c>
      <c r="AY186" s="6">
        <f>L*Iout2^2/(2*Vout_ripple2*Vout2*Npri_sec2^2)*1000000000*((1+N186)/(1-N186))^2</f>
        <v>8.4187992969821668</v>
      </c>
      <c r="AZ186" s="6">
        <f>L*G186^2/(2*Cout2*Vout2*Npri_sec2^2)*1000000000*((1+N186)/(1-N186))^2+G186*CoutEsr2</f>
        <v>13.555400358987827</v>
      </c>
      <c r="BA186" s="6">
        <f>(H186+I186)/Efficiency/J186*AT186/Vinripple1</f>
        <v>5.6275729540118</v>
      </c>
      <c r="BB186" s="6"/>
      <c r="BC186" s="6"/>
      <c r="BD186" s="178">
        <f t="shared" si="235"/>
        <v>1.7361164377892886</v>
      </c>
      <c r="BE186" s="178">
        <f t="shared" si="236"/>
        <v>1.6091093958370772</v>
      </c>
      <c r="BF186" s="178">
        <f t="shared" si="237"/>
        <v>1.0056933723981731</v>
      </c>
      <c r="BG186" s="178"/>
      <c r="BH186" s="543">
        <f t="shared" si="238"/>
        <v>0.33155103141183856</v>
      </c>
      <c r="BI186" s="543">
        <f t="shared" si="239"/>
        <v>7.3482622539359846E-2</v>
      </c>
      <c r="BJ186" s="543">
        <f t="shared" si="240"/>
        <v>8.4341604062392935E-3</v>
      </c>
      <c r="BK186" s="543">
        <f t="shared" si="241"/>
        <v>1.7138477512990941E-2</v>
      </c>
      <c r="BL186">
        <f t="shared" si="242"/>
        <v>2.6099999999999999E-3</v>
      </c>
      <c r="BM186" s="470">
        <f t="shared" si="243"/>
        <v>433.21629187042868</v>
      </c>
      <c r="BN186" s="178">
        <f t="shared" si="244"/>
        <v>0.24320000000000006</v>
      </c>
      <c r="BO186" s="178">
        <f t="shared" si="245"/>
        <v>0.15200000000000002</v>
      </c>
      <c r="BP186" s="543"/>
      <c r="BR186" s="470">
        <f t="shared" si="246"/>
        <v>395.2000000000001</v>
      </c>
      <c r="BS186" s="543">
        <f t="shared" si="247"/>
        <v>0.12056401142248675</v>
      </c>
      <c r="BT186" s="543">
        <f t="shared" si="248"/>
        <v>0.10356932191084654</v>
      </c>
      <c r="BU186" s="543">
        <f t="shared" si="249"/>
        <v>3.0342574778568315E-2</v>
      </c>
      <c r="BV186" s="543">
        <f t="shared" si="250"/>
        <v>0</v>
      </c>
      <c r="BW186" s="648">
        <f t="shared" si="287"/>
        <v>0.10633367732166192</v>
      </c>
      <c r="BX186" s="470">
        <f t="shared" si="251"/>
        <v>360.80958543356354</v>
      </c>
      <c r="BY186" s="178">
        <f t="shared" si="252"/>
        <v>1.1892258773039923</v>
      </c>
      <c r="BZ186" s="6">
        <f t="shared" si="253"/>
        <v>11.856000000000002</v>
      </c>
      <c r="CA186" s="178">
        <f t="shared" si="254"/>
        <v>0.90883823028522648</v>
      </c>
      <c r="CB186" s="6">
        <f t="shared" si="255"/>
        <v>90.883823028522642</v>
      </c>
      <c r="CC186">
        <f t="shared" si="256"/>
        <v>76.000000000000014</v>
      </c>
      <c r="CE186" s="577">
        <f t="shared" si="288"/>
        <v>-50</v>
      </c>
      <c r="CF186">
        <f t="shared" si="289"/>
        <v>-50</v>
      </c>
    </row>
    <row r="187" spans="5:84" x14ac:dyDescent="0.2">
      <c r="E187" s="175">
        <v>77</v>
      </c>
      <c r="F187" s="222">
        <f t="shared" si="290"/>
        <v>0.6160000000000001</v>
      </c>
      <c r="G187" s="222">
        <f t="shared" si="257"/>
        <v>0.38500000000000001</v>
      </c>
      <c r="H187" s="222">
        <f t="shared" si="258"/>
        <v>7.3920000000000012</v>
      </c>
      <c r="I187" s="222">
        <f t="shared" si="259"/>
        <v>4.62</v>
      </c>
      <c r="J187" s="556">
        <f t="shared" si="260"/>
        <v>9</v>
      </c>
      <c r="K187" s="452">
        <f t="shared" si="261"/>
        <v>10.343994241053061</v>
      </c>
      <c r="L187" s="452">
        <f t="shared" si="262"/>
        <v>21.25</v>
      </c>
      <c r="M187" s="452"/>
      <c r="N187" s="222">
        <f t="shared" si="263"/>
        <v>0.57647058823529407</v>
      </c>
      <c r="O187" s="177">
        <f t="shared" si="264"/>
        <v>6.2179004524886858</v>
      </c>
      <c r="P187" s="177">
        <f t="shared" si="265"/>
        <v>6.3150551470588203</v>
      </c>
      <c r="Q187" s="222">
        <f t="shared" si="266"/>
        <v>0.51815837104072382</v>
      </c>
      <c r="R187" s="222">
        <f t="shared" si="267"/>
        <v>0.51815837104072382</v>
      </c>
      <c r="S187" s="222">
        <f t="shared" si="268"/>
        <v>10.093994241053061</v>
      </c>
      <c r="T187" s="222">
        <f t="shared" si="269"/>
        <v>4.0999999999999996</v>
      </c>
      <c r="U187" s="222">
        <f t="shared" si="270"/>
        <v>3.1888888888888887</v>
      </c>
      <c r="V187" s="222">
        <f t="shared" si="271"/>
        <v>2.7745568424715423</v>
      </c>
      <c r="W187" s="202">
        <f t="shared" si="272"/>
        <v>350</v>
      </c>
      <c r="X187" s="452">
        <f t="shared" si="273"/>
        <v>167.6882871158235</v>
      </c>
      <c r="Z187" s="222">
        <f t="shared" si="274"/>
        <v>1.9643485062139323</v>
      </c>
      <c r="AA187" s="178">
        <f t="shared" si="275"/>
        <v>1.3293162411986876</v>
      </c>
      <c r="AB187" s="178">
        <f t="shared" si="276"/>
        <v>0.28121050167372202</v>
      </c>
      <c r="AC187" s="178"/>
      <c r="AD187" s="178">
        <f t="shared" si="277"/>
        <v>0.55491136849430844</v>
      </c>
      <c r="AE187" s="560">
        <f t="shared" si="278"/>
        <v>2707.5297240115101</v>
      </c>
      <c r="AF187" s="543">
        <f t="shared" si="279"/>
        <v>7.9629781378933256E-2</v>
      </c>
      <c r="AH187" s="178">
        <f t="shared" si="280"/>
        <v>3.1314077163017733</v>
      </c>
      <c r="AI187" s="178">
        <f t="shared" si="281"/>
        <v>4.0999999999999996</v>
      </c>
      <c r="AJ187" s="178">
        <f t="shared" si="282"/>
        <v>3.6296296296296298</v>
      </c>
      <c r="AL187" s="560">
        <f t="shared" si="283"/>
        <v>616.00000000000011</v>
      </c>
      <c r="AM187" s="470">
        <f t="shared" si="284"/>
        <v>167.6882871158235</v>
      </c>
      <c r="AO187" t="str">
        <f t="shared" si="285"/>
        <v/>
      </c>
      <c r="AP187" t="str">
        <f t="shared" si="286"/>
        <v/>
      </c>
      <c r="AR187" s="6">
        <f t="shared" si="214"/>
        <v>5.963445731360431</v>
      </c>
      <c r="AS187" s="6">
        <f t="shared" si="291"/>
        <v>3.1888888888888887</v>
      </c>
      <c r="AT187" s="6">
        <f t="shared" si="292"/>
        <v>2.7745568424715423</v>
      </c>
      <c r="AU187" s="178">
        <f t="shared" si="293"/>
        <v>0.5347393155804594</v>
      </c>
      <c r="AW187" s="6">
        <f>L*Iout^2/(2*Vripple1_spec*Vout*Npri_sec1^2)*1000000000*((1+N187)/(1-N187))^2</f>
        <v>21.552126200274348</v>
      </c>
      <c r="AX187" s="6">
        <f>L*F187^2/(2*Cout*Vout*Nps^2)*1000000000*((1+N187)/(1-N187))^2+F187*RCoutEsr</f>
        <v>34.47333350844935</v>
      </c>
      <c r="AY187" s="6">
        <f>L*Iout2^2/(2*Vout_ripple2*Vout2*Npri_sec2^2)*1000000000*((1+N187)/(1-N187))^2</f>
        <v>8.4187992969821668</v>
      </c>
      <c r="AZ187" s="6">
        <f>L*G187^2/(2*Cout2*Vout2*Npri_sec2^2)*1000000000*((1+N187)/(1-N187))^2+G187*CoutEsr2</f>
        <v>13.899270901738024</v>
      </c>
      <c r="BA187" s="6">
        <f>(H187+I187)/Efficiency/J187*AT187/Vinripple1</f>
        <v>5.7748281207308931</v>
      </c>
      <c r="BB187" s="6"/>
      <c r="BC187" s="6"/>
      <c r="BD187" s="178">
        <f t="shared" si="235"/>
        <v>1.7309889172481261</v>
      </c>
      <c r="BE187" s="178">
        <f t="shared" si="236"/>
        <v>1.6146240124863409</v>
      </c>
      <c r="BF187" s="178">
        <f t="shared" si="237"/>
        <v>1.009140007803963</v>
      </c>
      <c r="BG187" s="178"/>
      <c r="BH187" s="543">
        <f t="shared" si="238"/>
        <v>0.32959548947994238</v>
      </c>
      <c r="BI187" s="543">
        <f t="shared" si="239"/>
        <v>7.3049210074830603E-2</v>
      </c>
      <c r="BJ187" s="543">
        <f t="shared" si="240"/>
        <v>8.3844143557911741E-3</v>
      </c>
      <c r="BK187" s="543">
        <f t="shared" si="241"/>
        <v>1.7037391983916288E-2</v>
      </c>
      <c r="BL187">
        <f t="shared" si="242"/>
        <v>2.6099999999999999E-3</v>
      </c>
      <c r="BM187" s="470">
        <f t="shared" si="243"/>
        <v>430.6765058944805</v>
      </c>
      <c r="BN187" s="178">
        <f t="shared" si="244"/>
        <v>0.24640000000000006</v>
      </c>
      <c r="BO187" s="178">
        <f t="shared" si="245"/>
        <v>0.15400000000000003</v>
      </c>
      <c r="BP187" s="543"/>
      <c r="BR187" s="470">
        <f t="shared" si="246"/>
        <v>400.40000000000009</v>
      </c>
      <c r="BS187" s="543">
        <f t="shared" si="247"/>
        <v>0.11985290526543359</v>
      </c>
      <c r="BT187" s="543">
        <f t="shared" si="248"/>
        <v>0.10428042806789967</v>
      </c>
      <c r="BU187" s="543">
        <f t="shared" si="249"/>
        <v>3.055090666051747E-2</v>
      </c>
      <c r="BV187" s="543">
        <f t="shared" si="250"/>
        <v>0</v>
      </c>
      <c r="BW187" s="648">
        <f t="shared" si="287"/>
        <v>0.10570650399063725</v>
      </c>
      <c r="BX187" s="470">
        <f t="shared" si="251"/>
        <v>360.39074398448793</v>
      </c>
      <c r="BY187" s="178">
        <f t="shared" si="252"/>
        <v>1.1914672498789685</v>
      </c>
      <c r="BZ187" s="6">
        <f t="shared" si="253"/>
        <v>12.012</v>
      </c>
      <c r="CA187" s="178">
        <f t="shared" si="254"/>
        <v>0.90976103266436392</v>
      </c>
      <c r="CB187" s="6">
        <f t="shared" si="255"/>
        <v>90.976103266436397</v>
      </c>
      <c r="CC187">
        <f t="shared" si="256"/>
        <v>77.000000000000014</v>
      </c>
      <c r="CE187" s="577">
        <f t="shared" si="288"/>
        <v>-50</v>
      </c>
      <c r="CF187">
        <f t="shared" si="289"/>
        <v>-50</v>
      </c>
    </row>
    <row r="188" spans="5:84" x14ac:dyDescent="0.2">
      <c r="E188" s="175">
        <v>78</v>
      </c>
      <c r="F188" s="222">
        <f t="shared" si="290"/>
        <v>0.62400000000000011</v>
      </c>
      <c r="G188" s="222">
        <f t="shared" si="257"/>
        <v>0.39</v>
      </c>
      <c r="H188" s="222">
        <f t="shared" si="258"/>
        <v>7.4880000000000013</v>
      </c>
      <c r="I188" s="222">
        <f t="shared" si="259"/>
        <v>4.68</v>
      </c>
      <c r="J188" s="556">
        <f t="shared" si="260"/>
        <v>9</v>
      </c>
      <c r="K188" s="452">
        <f t="shared" si="261"/>
        <v>10.214584058475456</v>
      </c>
      <c r="L188" s="452">
        <f t="shared" si="262"/>
        <v>21.25</v>
      </c>
      <c r="M188" s="452"/>
      <c r="N188" s="222">
        <f t="shared" si="263"/>
        <v>0.57647058823529407</v>
      </c>
      <c r="O188" s="177">
        <f t="shared" si="264"/>
        <v>6.2179004524886858</v>
      </c>
      <c r="P188" s="177">
        <f t="shared" si="265"/>
        <v>6.3150551470588203</v>
      </c>
      <c r="Q188" s="222">
        <f t="shared" si="266"/>
        <v>0.51815837104072382</v>
      </c>
      <c r="R188" s="222">
        <f t="shared" si="267"/>
        <v>0.51815837104072382</v>
      </c>
      <c r="S188" s="222">
        <f t="shared" si="268"/>
        <v>9.9645840584754559</v>
      </c>
      <c r="T188" s="222">
        <f t="shared" si="269"/>
        <v>4.0999999999999996</v>
      </c>
      <c r="U188" s="222">
        <f t="shared" si="270"/>
        <v>3.1888888888888887</v>
      </c>
      <c r="V188" s="222">
        <f t="shared" si="271"/>
        <v>2.8097081423679158</v>
      </c>
      <c r="W188" s="202">
        <f t="shared" si="272"/>
        <v>350</v>
      </c>
      <c r="X188" s="452">
        <f t="shared" si="273"/>
        <v>166.70564713537419</v>
      </c>
      <c r="Z188" s="222">
        <f t="shared" si="274"/>
        <v>1.9528375807286691</v>
      </c>
      <c r="AA188" s="178">
        <f t="shared" si="275"/>
        <v>1.3382691832427813</v>
      </c>
      <c r="AB188" s="178">
        <f t="shared" si="276"/>
        <v>0.28144548429496857</v>
      </c>
      <c r="AC188" s="178"/>
      <c r="AD188" s="178">
        <f t="shared" si="277"/>
        <v>0.56194162847358309</v>
      </c>
      <c r="AE188" s="560">
        <f t="shared" si="278"/>
        <v>2708.3795582938246</v>
      </c>
      <c r="AF188" s="543">
        <f t="shared" si="279"/>
        <v>8.0638623685959171E-2</v>
      </c>
      <c r="AH188" s="178">
        <f t="shared" si="280"/>
        <v>3.1516759390028977</v>
      </c>
      <c r="AI188" s="178">
        <f t="shared" si="281"/>
        <v>4.0999999999999996</v>
      </c>
      <c r="AJ188" s="178">
        <f t="shared" si="282"/>
        <v>3.6296296296296298</v>
      </c>
      <c r="AL188" s="560">
        <f t="shared" si="283"/>
        <v>624.00000000000011</v>
      </c>
      <c r="AM188" s="470">
        <f t="shared" si="284"/>
        <v>166.70564713537419</v>
      </c>
      <c r="AO188" t="str">
        <f t="shared" si="285"/>
        <v/>
      </c>
      <c r="AP188" t="str">
        <f t="shared" si="286"/>
        <v/>
      </c>
      <c r="AR188" s="6">
        <f t="shared" si="214"/>
        <v>5.9985970312568044</v>
      </c>
      <c r="AS188" s="6">
        <f t="shared" si="291"/>
        <v>3.1888888888888887</v>
      </c>
      <c r="AT188" s="6">
        <f t="shared" si="292"/>
        <v>2.8097081423679158</v>
      </c>
      <c r="AU188" s="178">
        <f t="shared" si="293"/>
        <v>0.53160578586502649</v>
      </c>
      <c r="AW188" s="6">
        <f>L*Iout^2/(2*Vripple1_spec*Vout*Npri_sec1^2)*1000000000*((1+N188)/(1-N188))^2</f>
        <v>21.552126200274348</v>
      </c>
      <c r="AX188" s="6">
        <f>L*F188^2/(2*Cout*Vout*Nps^2)*1000000000*((1+N188)/(1-N188))^2+F188*RCoutEsr</f>
        <v>35.350247438928299</v>
      </c>
      <c r="AY188" s="6">
        <f>L*Iout2^2/(2*Vout_ripple2*Vout2*Npri_sec2^2)*1000000000*((1+N188)/(1-N188))^2</f>
        <v>8.4187992969821668</v>
      </c>
      <c r="AZ188" s="6">
        <f>L*G188^2/(2*Cout2*Vout2*Npri_sec2^2)*1000000000*((1+N188)/(1-N188))^2+G188*CoutEsr2</f>
        <v>14.247440405831364</v>
      </c>
      <c r="BA188" s="6">
        <f>(H188+I188)/Efficiency/J188*AT188/Vinripple1</f>
        <v>5.9239382588404244</v>
      </c>
      <c r="BB188" s="6"/>
      <c r="BC188" s="6"/>
      <c r="BD188" s="178">
        <f t="shared" si="235"/>
        <v>1.725909736959139</v>
      </c>
      <c r="BE188" s="178">
        <f t="shared" si="236"/>
        <v>1.6200521328657815</v>
      </c>
      <c r="BF188" s="178">
        <f t="shared" si="237"/>
        <v>1.0125325830411134</v>
      </c>
      <c r="BG188" s="178"/>
      <c r="BH188" s="543">
        <f t="shared" si="238"/>
        <v>0.32766408621434007</v>
      </c>
      <c r="BI188" s="543">
        <f t="shared" si="239"/>
        <v>7.2621147533347363E-2</v>
      </c>
      <c r="BJ188" s="543">
        <f t="shared" si="240"/>
        <v>8.3352823567687095E-3</v>
      </c>
      <c r="BK188" s="543">
        <f t="shared" si="241"/>
        <v>1.6937554226527669E-2</v>
      </c>
      <c r="BL188">
        <f t="shared" si="242"/>
        <v>2.6099999999999999E-3</v>
      </c>
      <c r="BM188" s="470">
        <f t="shared" si="243"/>
        <v>428.16807033098382</v>
      </c>
      <c r="BN188" s="178">
        <f t="shared" si="244"/>
        <v>0.24960000000000004</v>
      </c>
      <c r="BO188" s="178">
        <f t="shared" si="245"/>
        <v>0.15600000000000003</v>
      </c>
      <c r="BP188" s="543"/>
      <c r="BR188" s="470">
        <f t="shared" si="246"/>
        <v>405.60000000000008</v>
      </c>
      <c r="BS188" s="543">
        <f t="shared" si="247"/>
        <v>0.11915057680521457</v>
      </c>
      <c r="BT188" s="543">
        <f t="shared" si="248"/>
        <v>0.10498275652811873</v>
      </c>
      <c r="BU188" s="543">
        <f t="shared" si="249"/>
        <v>3.0756666951597272E-2</v>
      </c>
      <c r="BV188" s="543">
        <f t="shared" si="250"/>
        <v>0</v>
      </c>
      <c r="BW188" s="648">
        <f t="shared" si="287"/>
        <v>0.10508707231296152</v>
      </c>
      <c r="BX188" s="470">
        <f t="shared" si="251"/>
        <v>359.97707259789212</v>
      </c>
      <c r="BY188" s="178">
        <f t="shared" si="252"/>
        <v>1.1937451429288761</v>
      </c>
      <c r="BZ188" s="6">
        <f t="shared" si="253"/>
        <v>12.168000000000001</v>
      </c>
      <c r="CA188" s="178">
        <f t="shared" si="254"/>
        <v>0.91065948870005098</v>
      </c>
      <c r="CB188" s="6">
        <f t="shared" si="255"/>
        <v>91.065948870005101</v>
      </c>
      <c r="CC188">
        <f t="shared" si="256"/>
        <v>78.000000000000014</v>
      </c>
      <c r="CE188" s="577">
        <f t="shared" si="288"/>
        <v>-50</v>
      </c>
      <c r="CF188">
        <f t="shared" si="289"/>
        <v>-50</v>
      </c>
    </row>
    <row r="189" spans="5:84" x14ac:dyDescent="0.2">
      <c r="E189" s="175">
        <v>79</v>
      </c>
      <c r="F189" s="222">
        <f t="shared" si="290"/>
        <v>0.63200000000000012</v>
      </c>
      <c r="G189" s="222">
        <f t="shared" si="257"/>
        <v>0.39500000000000002</v>
      </c>
      <c r="H189" s="222">
        <f t="shared" si="258"/>
        <v>7.5840000000000014</v>
      </c>
      <c r="I189" s="222">
        <f t="shared" si="259"/>
        <v>4.74</v>
      </c>
      <c r="J189" s="556">
        <f t="shared" si="260"/>
        <v>9</v>
      </c>
      <c r="K189" s="452">
        <f t="shared" si="261"/>
        <v>10.088450083051717</v>
      </c>
      <c r="L189" s="452">
        <f t="shared" si="262"/>
        <v>21.25</v>
      </c>
      <c r="M189" s="452"/>
      <c r="N189" s="222">
        <f t="shared" si="263"/>
        <v>0.57647058823529407</v>
      </c>
      <c r="O189" s="177">
        <f t="shared" si="264"/>
        <v>6.2179004524886858</v>
      </c>
      <c r="P189" s="177">
        <f t="shared" si="265"/>
        <v>6.3150551470588203</v>
      </c>
      <c r="Q189" s="222">
        <f t="shared" si="266"/>
        <v>0.51815837104072382</v>
      </c>
      <c r="R189" s="222">
        <f t="shared" si="267"/>
        <v>0.51815837104072382</v>
      </c>
      <c r="S189" s="222">
        <f t="shared" si="268"/>
        <v>9.8384500830517165</v>
      </c>
      <c r="T189" s="222">
        <f t="shared" si="269"/>
        <v>4.0999999999999996</v>
      </c>
      <c r="U189" s="222">
        <f t="shared" si="270"/>
        <v>3.1888888888888887</v>
      </c>
      <c r="V189" s="222">
        <f t="shared" si="271"/>
        <v>2.84483738966158</v>
      </c>
      <c r="W189" s="202">
        <f t="shared" si="272"/>
        <v>350</v>
      </c>
      <c r="X189" s="452">
        <f t="shared" si="273"/>
        <v>165.73506218784559</v>
      </c>
      <c r="Z189" s="222">
        <f t="shared" si="274"/>
        <v>1.9414678713433338</v>
      </c>
      <c r="AA189" s="178">
        <f t="shared" si="275"/>
        <v>1.3471122905424864</v>
      </c>
      <c r="AB189" s="178">
        <f t="shared" si="276"/>
        <v>0.28165579412707303</v>
      </c>
      <c r="AC189" s="178"/>
      <c r="AD189" s="178">
        <f t="shared" si="277"/>
        <v>0.56896747793231595</v>
      </c>
      <c r="AE189" s="560">
        <f t="shared" si="278"/>
        <v>2709.2293925761401</v>
      </c>
      <c r="AF189" s="543">
        <f t="shared" si="279"/>
        <v>8.1646833083287337E-2</v>
      </c>
      <c r="AH189" s="178">
        <f t="shared" si="280"/>
        <v>3.1718146483149527</v>
      </c>
      <c r="AI189" s="178">
        <f t="shared" si="281"/>
        <v>4.0999999999999996</v>
      </c>
      <c r="AJ189" s="178">
        <f t="shared" si="282"/>
        <v>3.6296296296296298</v>
      </c>
      <c r="AL189" s="560">
        <f t="shared" si="283"/>
        <v>632.00000000000011</v>
      </c>
      <c r="AM189" s="470">
        <f t="shared" si="284"/>
        <v>165.73506218784559</v>
      </c>
      <c r="AO189" t="str">
        <f t="shared" si="285"/>
        <v/>
      </c>
      <c r="AP189" t="str">
        <f t="shared" si="286"/>
        <v/>
      </c>
      <c r="AR189" s="6">
        <f t="shared" si="214"/>
        <v>6.0337262785504686</v>
      </c>
      <c r="AS189" s="6">
        <f t="shared" si="291"/>
        <v>3.1888888888888887</v>
      </c>
      <c r="AT189" s="6">
        <f t="shared" si="292"/>
        <v>2.84483738966158</v>
      </c>
      <c r="AU189" s="178">
        <f t="shared" si="293"/>
        <v>0.52851069831012976</v>
      </c>
      <c r="AW189" s="6">
        <f>L*Iout^2/(2*Vripple1_spec*Vout*Npri_sec1^2)*1000000000*((1+N189)/(1-N189))^2</f>
        <v>21.552126200274348</v>
      </c>
      <c r="AX189" s="6">
        <f>L*F189^2/(2*Cout*Vout*Nps^2)*1000000000*((1+N189)/(1-N189))^2+F189*RCoutEsr</f>
        <v>36.238166710445682</v>
      </c>
      <c r="AY189" s="6">
        <f>L*Iout2^2/(2*Vout_ripple2*Vout2*Npri_sec2^2)*1000000000*((1+N189)/(1-N189))^2</f>
        <v>8.4187992969821668</v>
      </c>
      <c r="AZ189" s="6">
        <f>L*G189^2/(2*Cout2*Vout2*Npri_sec2^2)*1000000000*((1+N189)/(1-N189))^2+G189*CoutEsr2</f>
        <v>14.599908871267841</v>
      </c>
      <c r="BA189" s="6">
        <f>(H189+I189)/Efficiency/J189*AT189/Vinripple1</f>
        <v>6.0749016227315238</v>
      </c>
      <c r="BB189" s="6"/>
      <c r="BC189" s="6"/>
      <c r="BD189" s="178">
        <f t="shared" si="235"/>
        <v>1.7208781516610718</v>
      </c>
      <c r="BE189" s="178">
        <f t="shared" si="236"/>
        <v>1.6253958657720604</v>
      </c>
      <c r="BF189" s="178">
        <f t="shared" si="237"/>
        <v>1.0158724161075376</v>
      </c>
      <c r="BG189" s="178"/>
      <c r="BH189" s="543">
        <f t="shared" si="238"/>
        <v>0.32575637741508695</v>
      </c>
      <c r="BI189" s="543">
        <f t="shared" si="239"/>
        <v>7.2198336465580229E-2</v>
      </c>
      <c r="BJ189" s="543">
        <f t="shared" si="240"/>
        <v>8.2867531093922791E-3</v>
      </c>
      <c r="BK189" s="543">
        <f t="shared" si="241"/>
        <v>1.6838941279319782E-2</v>
      </c>
      <c r="BL189">
        <f t="shared" si="242"/>
        <v>2.6099999999999999E-3</v>
      </c>
      <c r="BM189" s="470">
        <f t="shared" si="243"/>
        <v>425.69040826937919</v>
      </c>
      <c r="BN189" s="178">
        <f t="shared" si="244"/>
        <v>0.25280000000000008</v>
      </c>
      <c r="BO189" s="178">
        <f t="shared" si="245"/>
        <v>0.15800000000000003</v>
      </c>
      <c r="BP189" s="543"/>
      <c r="BR189" s="470">
        <f t="shared" si="246"/>
        <v>410.80000000000013</v>
      </c>
      <c r="BS189" s="543">
        <f t="shared" si="247"/>
        <v>0.11845686451457707</v>
      </c>
      <c r="BT189" s="543">
        <f t="shared" si="248"/>
        <v>0.10567646881875624</v>
      </c>
      <c r="BU189" s="543">
        <f t="shared" si="249"/>
        <v>3.0959902974244984E-2</v>
      </c>
      <c r="BV189" s="543">
        <f t="shared" si="250"/>
        <v>0</v>
      </c>
      <c r="BW189" s="648">
        <f t="shared" si="287"/>
        <v>0.10447523982666317</v>
      </c>
      <c r="BX189" s="470">
        <f t="shared" si="251"/>
        <v>359.56847613424145</v>
      </c>
      <c r="BY189" s="178">
        <f t="shared" si="252"/>
        <v>1.1960588844036204</v>
      </c>
      <c r="BZ189" s="6">
        <f t="shared" si="253"/>
        <v>12.324000000000002</v>
      </c>
      <c r="CA189" s="178">
        <f t="shared" si="254"/>
        <v>0.91153449148188537</v>
      </c>
      <c r="CB189" s="6">
        <f t="shared" si="255"/>
        <v>91.153449148188542</v>
      </c>
      <c r="CC189">
        <f t="shared" si="256"/>
        <v>79.000000000000014</v>
      </c>
      <c r="CE189" s="577">
        <f t="shared" si="288"/>
        <v>-50</v>
      </c>
      <c r="CF189">
        <f t="shared" si="289"/>
        <v>-50</v>
      </c>
    </row>
    <row r="190" spans="5:84" x14ac:dyDescent="0.2">
      <c r="E190" s="175">
        <v>80</v>
      </c>
      <c r="F190" s="222">
        <f t="shared" si="290"/>
        <v>0.64000000000000012</v>
      </c>
      <c r="G190" s="222">
        <f t="shared" si="257"/>
        <v>0.4</v>
      </c>
      <c r="H190" s="222">
        <f t="shared" si="258"/>
        <v>7.6800000000000015</v>
      </c>
      <c r="I190" s="222">
        <f t="shared" si="259"/>
        <v>4.8000000000000007</v>
      </c>
      <c r="J190" s="556">
        <f t="shared" si="260"/>
        <v>9</v>
      </c>
      <c r="K190" s="452">
        <f t="shared" si="261"/>
        <v>9.9654694570135689</v>
      </c>
      <c r="L190" s="452">
        <f t="shared" si="262"/>
        <v>21.25</v>
      </c>
      <c r="M190" s="452"/>
      <c r="N190" s="222">
        <f t="shared" si="263"/>
        <v>0.57647058823529407</v>
      </c>
      <c r="O190" s="177">
        <f t="shared" si="264"/>
        <v>6.2179004524886858</v>
      </c>
      <c r="P190" s="177">
        <f t="shared" si="265"/>
        <v>6.3150551470588203</v>
      </c>
      <c r="Q190" s="222">
        <f t="shared" si="266"/>
        <v>0.51815837104072382</v>
      </c>
      <c r="R190" s="222">
        <f t="shared" si="267"/>
        <v>0.51815837104072382</v>
      </c>
      <c r="S190" s="222">
        <f t="shared" si="268"/>
        <v>9.7154694570135689</v>
      </c>
      <c r="T190" s="222">
        <f t="shared" si="269"/>
        <v>4.0999999999999996</v>
      </c>
      <c r="U190" s="222">
        <f t="shared" si="270"/>
        <v>3.1888888888888887</v>
      </c>
      <c r="V190" s="222">
        <f t="shared" si="271"/>
        <v>2.8799446050984887</v>
      </c>
      <c r="W190" s="202">
        <f t="shared" si="272"/>
        <v>350</v>
      </c>
      <c r="X190" s="452">
        <f t="shared" si="273"/>
        <v>164.77631178886978</v>
      </c>
      <c r="Z190" s="222">
        <f t="shared" si="274"/>
        <v>1.9302367952410455</v>
      </c>
      <c r="AA190" s="178">
        <f t="shared" si="275"/>
        <v>1.3558475719553773</v>
      </c>
      <c r="AB190" s="178">
        <f t="shared" si="276"/>
        <v>0.28184227853670007</v>
      </c>
      <c r="AC190" s="178"/>
      <c r="AD190" s="178">
        <f t="shared" si="277"/>
        <v>0.57598892101969779</v>
      </c>
      <c r="AE190" s="560">
        <f t="shared" si="278"/>
        <v>2710.0792268584541</v>
      </c>
      <c r="AF190" s="543">
        <f t="shared" si="279"/>
        <v>8.2654410166326631E-2</v>
      </c>
      <c r="AH190" s="178">
        <f t="shared" si="280"/>
        <v>3.1918262957186152</v>
      </c>
      <c r="AI190" s="178">
        <f t="shared" si="281"/>
        <v>4.0999999999999996</v>
      </c>
      <c r="AJ190" s="178">
        <f t="shared" si="282"/>
        <v>3.6296296296296298</v>
      </c>
      <c r="AL190" s="560">
        <f t="shared" si="283"/>
        <v>640.00000000000011</v>
      </c>
      <c r="AM190" s="470">
        <f t="shared" si="284"/>
        <v>164.77631178886978</v>
      </c>
      <c r="AO190" t="str">
        <f t="shared" si="285"/>
        <v/>
      </c>
      <c r="AP190" t="str">
        <f t="shared" si="286"/>
        <v/>
      </c>
      <c r="AR190" s="6">
        <f t="shared" si="214"/>
        <v>6.0688334939873769</v>
      </c>
      <c r="AS190" s="6">
        <f t="shared" si="291"/>
        <v>3.1888888888888887</v>
      </c>
      <c r="AT190" s="6">
        <f t="shared" si="292"/>
        <v>2.8799446050984883</v>
      </c>
      <c r="AU190" s="178">
        <f t="shared" si="293"/>
        <v>0.52545334981561809</v>
      </c>
      <c r="AW190" s="6">
        <f>L*Iout^2/(2*Vripple1_spec*Vout*Npri_sec1^2)*1000000000*((1+N190)/(1-N190))^2</f>
        <v>21.552126200274348</v>
      </c>
      <c r="AX190" s="6">
        <f>L*F190^2/(2*Cout*Vout*Nps^2)*1000000000*((1+N190)/(1-N190))^2+F190*RCoutEsr</f>
        <v>37.137091323001499</v>
      </c>
      <c r="AY190" s="6">
        <f>L*Iout2^2/(2*Vout_ripple2*Vout2*Npri_sec2^2)*1000000000*((1+N190)/(1-N190))^2</f>
        <v>8.4187992969821668</v>
      </c>
      <c r="AZ190" s="6">
        <f>L*G190^2/(2*Cout2*Vout2*Npri_sec2^2)*1000000000*((1+N190)/(1-N190))^2+G190*CoutEsr2</f>
        <v>14.956676298047459</v>
      </c>
      <c r="BA190" s="6">
        <f>(H190+I190)/Efficiency/J190*AT190/Vinripple1</f>
        <v>6.2277164689849052</v>
      </c>
      <c r="BB190" s="6"/>
      <c r="BC190" s="6"/>
      <c r="BD190" s="178">
        <f t="shared" si="235"/>
        <v>1.7158934320445174</v>
      </c>
      <c r="BE190" s="178">
        <f t="shared" si="236"/>
        <v>1.6306572488416502</v>
      </c>
      <c r="BF190" s="178">
        <f t="shared" si="237"/>
        <v>1.0191607805260312</v>
      </c>
      <c r="BG190" s="178"/>
      <c r="BH190" s="543">
        <f t="shared" si="238"/>
        <v>0.32387192971468642</v>
      </c>
      <c r="BI190" s="543">
        <f t="shared" si="239"/>
        <v>7.1780680823026383E-2</v>
      </c>
      <c r="BJ190" s="543">
        <f t="shared" si="240"/>
        <v>8.2388155894434888E-3</v>
      </c>
      <c r="BK190" s="543">
        <f t="shared" si="241"/>
        <v>1.6741530740736341E-2</v>
      </c>
      <c r="BL190">
        <f t="shared" si="242"/>
        <v>2.6099999999999999E-3</v>
      </c>
      <c r="BM190" s="470">
        <f t="shared" si="243"/>
        <v>423.2429568678927</v>
      </c>
      <c r="BN190" s="178">
        <f t="shared" si="244"/>
        <v>0.25600000000000006</v>
      </c>
      <c r="BO190" s="178">
        <f t="shared" si="245"/>
        <v>0.16000000000000003</v>
      </c>
      <c r="BP190" s="543"/>
      <c r="BR190" s="470">
        <f t="shared" si="246"/>
        <v>416.00000000000011</v>
      </c>
      <c r="BS190" s="543">
        <f t="shared" si="247"/>
        <v>0.11777161080534052</v>
      </c>
      <c r="BT190" s="543">
        <f t="shared" si="248"/>
        <v>0.10636172252799279</v>
      </c>
      <c r="BU190" s="543">
        <f t="shared" si="249"/>
        <v>3.1160660896872874E-2</v>
      </c>
      <c r="BV190" s="543">
        <f t="shared" si="250"/>
        <v>0</v>
      </c>
      <c r="BW190" s="648">
        <f t="shared" si="287"/>
        <v>0.1038708675439088</v>
      </c>
      <c r="BX190" s="470">
        <f t="shared" si="251"/>
        <v>359.16486177411497</v>
      </c>
      <c r="BY190" s="178">
        <f t="shared" si="252"/>
        <v>1.1984078186420077</v>
      </c>
      <c r="BZ190" s="6">
        <f t="shared" si="253"/>
        <v>12.480000000000002</v>
      </c>
      <c r="CA190" s="178">
        <f t="shared" si="254"/>
        <v>0.9123868922076791</v>
      </c>
      <c r="CB190" s="6">
        <f t="shared" si="255"/>
        <v>91.23868922076791</v>
      </c>
      <c r="CC190">
        <f t="shared" si="256"/>
        <v>80.000000000000014</v>
      </c>
      <c r="CE190" s="577">
        <f t="shared" si="288"/>
        <v>-50</v>
      </c>
      <c r="CF190">
        <f t="shared" si="289"/>
        <v>-50</v>
      </c>
    </row>
    <row r="191" spans="5:84" x14ac:dyDescent="0.2">
      <c r="E191" s="175">
        <v>81</v>
      </c>
      <c r="F191" s="222">
        <f t="shared" si="290"/>
        <v>0.64800000000000013</v>
      </c>
      <c r="G191" s="222">
        <f t="shared" si="257"/>
        <v>0.40500000000000003</v>
      </c>
      <c r="H191" s="222">
        <f t="shared" si="258"/>
        <v>7.7760000000000016</v>
      </c>
      <c r="I191" s="222">
        <f t="shared" si="259"/>
        <v>4.8600000000000003</v>
      </c>
      <c r="J191" s="556">
        <f t="shared" si="260"/>
        <v>9</v>
      </c>
      <c r="K191" s="452">
        <f t="shared" si="261"/>
        <v>9.845525389643031</v>
      </c>
      <c r="L191" s="452">
        <f t="shared" si="262"/>
        <v>21.25</v>
      </c>
      <c r="M191" s="452"/>
      <c r="N191" s="222">
        <f t="shared" si="263"/>
        <v>0.57647058823529407</v>
      </c>
      <c r="O191" s="177">
        <f t="shared" si="264"/>
        <v>6.2179004524886858</v>
      </c>
      <c r="P191" s="177">
        <f t="shared" si="265"/>
        <v>6.3150551470588203</v>
      </c>
      <c r="Q191" s="222">
        <f t="shared" si="266"/>
        <v>0.51815837104072382</v>
      </c>
      <c r="R191" s="222">
        <f t="shared" si="267"/>
        <v>0.51815837104072382</v>
      </c>
      <c r="S191" s="222">
        <f t="shared" si="268"/>
        <v>9.595525389643031</v>
      </c>
      <c r="T191" s="222">
        <f t="shared" si="269"/>
        <v>4.0999999999999996</v>
      </c>
      <c r="U191" s="222">
        <f t="shared" si="270"/>
        <v>3.1888888888888887</v>
      </c>
      <c r="V191" s="222">
        <f t="shared" si="271"/>
        <v>2.9150298093985789</v>
      </c>
      <c r="W191" s="202">
        <f t="shared" si="272"/>
        <v>350</v>
      </c>
      <c r="X191" s="452">
        <f t="shared" si="273"/>
        <v>163.82918079832271</v>
      </c>
      <c r="Z191" s="222">
        <f t="shared" si="274"/>
        <v>1.9191418322089226</v>
      </c>
      <c r="AA191" s="178">
        <f t="shared" si="275"/>
        <v>1.3644769876470284</v>
      </c>
      <c r="AB191" s="178">
        <f t="shared" si="276"/>
        <v>0.28200575480859708</v>
      </c>
      <c r="AC191" s="178"/>
      <c r="AD191" s="178">
        <f t="shared" si="277"/>
        <v>0.58300596187971576</v>
      </c>
      <c r="AE191" s="560">
        <f t="shared" si="278"/>
        <v>2710.9290611407696</v>
      </c>
      <c r="AF191" s="543">
        <f t="shared" si="279"/>
        <v>8.3661355529739204E-2</v>
      </c>
      <c r="AH191" s="178">
        <f t="shared" si="280"/>
        <v>3.2117132563191766</v>
      </c>
      <c r="AI191" s="178">
        <f t="shared" si="281"/>
        <v>4.0999999999999996</v>
      </c>
      <c r="AJ191" s="178">
        <f t="shared" si="282"/>
        <v>3.6296296296296298</v>
      </c>
      <c r="AL191" s="560">
        <f t="shared" si="283"/>
        <v>648.00000000000011</v>
      </c>
      <c r="AM191" s="470">
        <f t="shared" si="284"/>
        <v>163.82918079832271</v>
      </c>
      <c r="AO191" t="str">
        <f t="shared" si="285"/>
        <v/>
      </c>
      <c r="AP191" t="str">
        <f t="shared" si="286"/>
        <v/>
      </c>
      <c r="AR191" s="6">
        <f t="shared" si="214"/>
        <v>6.1039186982874671</v>
      </c>
      <c r="AS191" s="6">
        <f t="shared" si="291"/>
        <v>3.1888888888888887</v>
      </c>
      <c r="AT191" s="6">
        <f t="shared" si="292"/>
        <v>2.9150298093985785</v>
      </c>
      <c r="AU191" s="178">
        <f t="shared" si="293"/>
        <v>0.52243305432354015</v>
      </c>
      <c r="AW191" s="6">
        <f>L*Iout^2/(2*Vripple1_spec*Vout*Npri_sec1^2)*1000000000*((1+N191)/(1-N191))^2</f>
        <v>21.552126200274348</v>
      </c>
      <c r="AX191" s="6">
        <f>L*F191^2/(2*Cout*Vout*Nps^2)*1000000000*((1+N191)/(1-N191))^2+F191*RCoutEsr</f>
        <v>38.047021276595764</v>
      </c>
      <c r="AY191" s="6">
        <f>L*Iout2^2/(2*Vout_ripple2*Vout2*Npri_sec2^2)*1000000000*((1+N191)/(1-N191))^2</f>
        <v>8.4187992969821668</v>
      </c>
      <c r="AZ191" s="6">
        <f>L*G191^2/(2*Cout2*Vout2*Npri_sec2^2)*1000000000*((1+N191)/(1-N191))^2+G191*CoutEsr2</f>
        <v>15.317742686170213</v>
      </c>
      <c r="BA191" s="6">
        <f>(H191+I191)/Efficiency/J191*AT191/Vinripple1</f>
        <v>6.3823810563674153</v>
      </c>
      <c r="BB191" s="6"/>
      <c r="BC191" s="6"/>
      <c r="BD191" s="178">
        <f t="shared" si="235"/>
        <v>1.7109548643158989</v>
      </c>
      <c r="BE191" s="178">
        <f t="shared" si="236"/>
        <v>1.6358382516639891</v>
      </c>
      <c r="BF191" s="178">
        <f t="shared" si="237"/>
        <v>1.0223989072899931</v>
      </c>
      <c r="BG191" s="178"/>
      <c r="BH191" s="543">
        <f t="shared" si="238"/>
        <v>0.32201032024988596</v>
      </c>
      <c r="BI191" s="543">
        <f t="shared" si="239"/>
        <v>7.1368086885269327E-2</v>
      </c>
      <c r="BJ191" s="543">
        <f t="shared" si="240"/>
        <v>8.1914590399161345E-3</v>
      </c>
      <c r="BK191" s="543">
        <f t="shared" si="241"/>
        <v>1.6645300752204585E-2</v>
      </c>
      <c r="BL191">
        <f t="shared" si="242"/>
        <v>2.6099999999999999E-3</v>
      </c>
      <c r="BM191" s="470">
        <f t="shared" si="243"/>
        <v>420.82516692727603</v>
      </c>
      <c r="BN191" s="178">
        <f t="shared" si="244"/>
        <v>0.25920000000000004</v>
      </c>
      <c r="BO191" s="178">
        <f t="shared" si="245"/>
        <v>0.16200000000000003</v>
      </c>
      <c r="BP191" s="543"/>
      <c r="BR191" s="470">
        <f t="shared" si="246"/>
        <v>421.2000000000001</v>
      </c>
      <c r="BS191" s="543">
        <f t="shared" si="247"/>
        <v>0.11709466190904945</v>
      </c>
      <c r="BT191" s="543">
        <f t="shared" si="248"/>
        <v>0.10703867142428386</v>
      </c>
      <c r="BU191" s="543">
        <f t="shared" si="249"/>
        <v>3.1358985768833149E-2</v>
      </c>
      <c r="BV191" s="543">
        <f t="shared" si="250"/>
        <v>0</v>
      </c>
      <c r="BW191" s="648">
        <f t="shared" si="287"/>
        <v>0.1032738198457427</v>
      </c>
      <c r="BX191" s="470">
        <f t="shared" si="251"/>
        <v>358.76613894790916</v>
      </c>
      <c r="BY191" s="178">
        <f t="shared" si="252"/>
        <v>1.2007913058751856</v>
      </c>
      <c r="BZ191" s="6">
        <f t="shared" si="253"/>
        <v>12.532955599547506</v>
      </c>
      <c r="CA191" s="178">
        <f t="shared" si="254"/>
        <v>0.91256637288101916</v>
      </c>
      <c r="CB191" s="6">
        <f t="shared" si="255"/>
        <v>91.256637288101913</v>
      </c>
      <c r="CC191">
        <f t="shared" si="256"/>
        <v>81.000000000000014</v>
      </c>
      <c r="CE191" s="577">
        <f t="shared" si="288"/>
        <v>-50</v>
      </c>
      <c r="CF191">
        <f t="shared" si="289"/>
        <v>-50</v>
      </c>
    </row>
    <row r="192" spans="5:84" x14ac:dyDescent="0.2">
      <c r="E192" s="175">
        <v>82</v>
      </c>
      <c r="F192" s="222">
        <f t="shared" si="290"/>
        <v>0.65600000000000003</v>
      </c>
      <c r="G192" s="222">
        <f t="shared" si="257"/>
        <v>0.41</v>
      </c>
      <c r="H192" s="222">
        <f t="shared" si="258"/>
        <v>7.8719999999999999</v>
      </c>
      <c r="I192" s="222">
        <f t="shared" si="259"/>
        <v>4.92</v>
      </c>
      <c r="J192" s="556">
        <f t="shared" si="260"/>
        <v>9</v>
      </c>
      <c r="K192" s="452">
        <f t="shared" si="261"/>
        <v>9.7285067873303142</v>
      </c>
      <c r="L192" s="452">
        <f t="shared" si="262"/>
        <v>21.25</v>
      </c>
      <c r="M192" s="452"/>
      <c r="N192" s="222">
        <f t="shared" si="263"/>
        <v>0.57647058823529407</v>
      </c>
      <c r="O192" s="177">
        <f t="shared" si="264"/>
        <v>6.2179004524886858</v>
      </c>
      <c r="P192" s="177">
        <f t="shared" si="265"/>
        <v>6.3150551470588203</v>
      </c>
      <c r="Q192" s="222">
        <f t="shared" si="266"/>
        <v>0.51815837104072382</v>
      </c>
      <c r="R192" s="222">
        <f t="shared" si="267"/>
        <v>0.51815837104072382</v>
      </c>
      <c r="S192" s="222">
        <f t="shared" si="268"/>
        <v>9.4785067873303142</v>
      </c>
      <c r="T192" s="222">
        <f t="shared" si="269"/>
        <v>4.0999999999999996</v>
      </c>
      <c r="U192" s="222">
        <f t="shared" si="270"/>
        <v>3.1888888888888887</v>
      </c>
      <c r="V192" s="222">
        <f t="shared" si="271"/>
        <v>2.9500930232558145</v>
      </c>
      <c r="W192" s="202">
        <f t="shared" si="272"/>
        <v>350</v>
      </c>
      <c r="X192" s="452">
        <f t="shared" si="273"/>
        <v>162.89345925937772</v>
      </c>
      <c r="Z192" s="222">
        <f t="shared" si="274"/>
        <v>1.9081805227527107</v>
      </c>
      <c r="AA192" s="178">
        <f t="shared" si="275"/>
        <v>1.3730024505574159</v>
      </c>
      <c r="AB192" s="178">
        <f t="shared" si="276"/>
        <v>0.28214701133719722</v>
      </c>
      <c r="AC192" s="178"/>
      <c r="AD192" s="178">
        <f t="shared" si="277"/>
        <v>0.59001860465116285</v>
      </c>
      <c r="AE192" s="560">
        <f t="shared" si="278"/>
        <v>2711.778895423085</v>
      </c>
      <c r="AF192" s="543">
        <f t="shared" si="279"/>
        <v>8.4667669767441847E-2</v>
      </c>
      <c r="AH192" s="178">
        <f t="shared" si="280"/>
        <v>3.2314778321368438</v>
      </c>
      <c r="AI192" s="178">
        <f t="shared" si="281"/>
        <v>4.0999999999999996</v>
      </c>
      <c r="AJ192" s="178">
        <f t="shared" si="282"/>
        <v>3.6296296296296298</v>
      </c>
      <c r="AL192" s="560">
        <f t="shared" si="283"/>
        <v>656</v>
      </c>
      <c r="AM192" s="470">
        <f t="shared" si="284"/>
        <v>162.89345925937772</v>
      </c>
      <c r="AO192" t="str">
        <f t="shared" si="285"/>
        <v/>
      </c>
      <c r="AP192" t="str">
        <f t="shared" si="286"/>
        <v/>
      </c>
      <c r="AR192" s="6">
        <f t="shared" si="214"/>
        <v>6.1389819121447031</v>
      </c>
      <c r="AS192" s="6">
        <f t="shared" si="291"/>
        <v>3.1888888888888887</v>
      </c>
      <c r="AT192" s="6">
        <f t="shared" si="292"/>
        <v>2.9500930232558145</v>
      </c>
      <c r="AU192" s="178">
        <f t="shared" si="293"/>
        <v>0.51944914230490447</v>
      </c>
      <c r="AW192" s="6">
        <f>L*Iout^2/(2*Vripple1_spec*Vout*Npri_sec1^2)*1000000000*((1+N192)/(1-N192))^2</f>
        <v>21.552126200274348</v>
      </c>
      <c r="AX192" s="6">
        <f>L*F192^2/(2*Cout*Vout*Nps^2)*1000000000*((1+N192)/(1-N192))^2+F192*RCoutEsr</f>
        <v>38.967956571228441</v>
      </c>
      <c r="AY192" s="6">
        <f>L*Iout2^2/(2*Vout_ripple2*Vout2*Npri_sec2^2)*1000000000*((1+N192)/(1-N192))^2</f>
        <v>8.4187992969821668</v>
      </c>
      <c r="AZ192" s="6">
        <f>L*G192^2/(2*Cout2*Vout2*Npri_sec2^2)*1000000000*((1+N192)/(1-N192))^2+G192*CoutEsr2</f>
        <v>15.683108035636108</v>
      </c>
      <c r="BA192" s="6">
        <f>(H192+I192)/Efficiency/J192*AT192/Vinripple1</f>
        <v>6.5388936458286118</v>
      </c>
      <c r="BB192" s="6"/>
      <c r="BC192" s="6"/>
      <c r="BD192" s="178">
        <f t="shared" si="235"/>
        <v>1.7060617497759221</v>
      </c>
      <c r="BE192" s="178">
        <f t="shared" si="236"/>
        <v>1.6409407787256833</v>
      </c>
      <c r="BF192" s="178">
        <f t="shared" si="237"/>
        <v>1.025587986703552</v>
      </c>
      <c r="BG192" s="178"/>
      <c r="BH192" s="543">
        <f t="shared" si="238"/>
        <v>0.3201711363453329</v>
      </c>
      <c r="BI192" s="543">
        <f t="shared" si="239"/>
        <v>7.0960463189866402E-2</v>
      </c>
      <c r="BJ192" s="543">
        <f t="shared" si="240"/>
        <v>8.1446729629688856E-3</v>
      </c>
      <c r="BK192" s="543">
        <f t="shared" si="241"/>
        <v>1.655022998178287E-2</v>
      </c>
      <c r="BL192">
        <f t="shared" si="242"/>
        <v>2.6099999999999999E-3</v>
      </c>
      <c r="BM192" s="470">
        <f t="shared" si="243"/>
        <v>418.436502479951</v>
      </c>
      <c r="BN192" s="178">
        <f t="shared" si="244"/>
        <v>0.26240000000000002</v>
      </c>
      <c r="BO192" s="178">
        <f t="shared" si="245"/>
        <v>0.16400000000000001</v>
      </c>
      <c r="BP192" s="543"/>
      <c r="BR192" s="470">
        <f t="shared" si="246"/>
        <v>426.4</v>
      </c>
      <c r="BS192" s="543">
        <f t="shared" si="247"/>
        <v>0.11642586776193924</v>
      </c>
      <c r="BT192" s="543">
        <f t="shared" si="248"/>
        <v>0.10770746557139407</v>
      </c>
      <c r="BU192" s="543">
        <f t="shared" si="249"/>
        <v>3.1554921554119354E-2</v>
      </c>
      <c r="BV192" s="543">
        <f t="shared" si="250"/>
        <v>0</v>
      </c>
      <c r="BW192" s="648">
        <f t="shared" si="287"/>
        <v>0.10268396438063025</v>
      </c>
      <c r="BX192" s="470">
        <f t="shared" si="251"/>
        <v>358.37221926808292</v>
      </c>
      <c r="BY192" s="178">
        <f t="shared" si="252"/>
        <v>1.2032087217480338</v>
      </c>
      <c r="BZ192" s="6">
        <f t="shared" si="253"/>
        <v>12.532955599547506</v>
      </c>
      <c r="CA192" s="178">
        <f t="shared" si="254"/>
        <v>0.91240577110142262</v>
      </c>
      <c r="CB192" s="6">
        <f t="shared" si="255"/>
        <v>91.240577110142269</v>
      </c>
      <c r="CC192">
        <f t="shared" si="256"/>
        <v>82</v>
      </c>
      <c r="CE192" s="577">
        <f t="shared" si="288"/>
        <v>-50</v>
      </c>
      <c r="CF192">
        <f t="shared" si="289"/>
        <v>-50</v>
      </c>
    </row>
    <row r="193" spans="5:84" x14ac:dyDescent="0.2">
      <c r="E193" s="175">
        <v>83</v>
      </c>
      <c r="F193" s="222">
        <f t="shared" si="290"/>
        <v>0.66400000000000003</v>
      </c>
      <c r="G193" s="222">
        <f t="shared" si="257"/>
        <v>0.41499999999999998</v>
      </c>
      <c r="H193" s="222">
        <f t="shared" si="258"/>
        <v>7.968</v>
      </c>
      <c r="I193" s="222">
        <f t="shared" si="259"/>
        <v>4.9799999999999995</v>
      </c>
      <c r="J193" s="556">
        <f t="shared" si="260"/>
        <v>9</v>
      </c>
      <c r="K193" s="452">
        <f t="shared" si="261"/>
        <v>9.6143079103745261</v>
      </c>
      <c r="L193" s="452">
        <f t="shared" si="262"/>
        <v>21.25</v>
      </c>
      <c r="M193" s="452"/>
      <c r="N193" s="222">
        <f t="shared" si="263"/>
        <v>0.57647058823529407</v>
      </c>
      <c r="O193" s="177">
        <f t="shared" si="264"/>
        <v>6.2179004524886858</v>
      </c>
      <c r="P193" s="177">
        <f t="shared" si="265"/>
        <v>6.3150551470588203</v>
      </c>
      <c r="Q193" s="222">
        <f t="shared" si="266"/>
        <v>0.51815837104072382</v>
      </c>
      <c r="R193" s="222">
        <f t="shared" si="267"/>
        <v>0.51815837104072382</v>
      </c>
      <c r="S193" s="222">
        <f t="shared" si="268"/>
        <v>9.3643079103745261</v>
      </c>
      <c r="T193" s="222">
        <f t="shared" si="269"/>
        <v>4.0999999999999996</v>
      </c>
      <c r="U193" s="222">
        <f t="shared" si="270"/>
        <v>3.1888888888888887</v>
      </c>
      <c r="V193" s="222">
        <f t="shared" si="271"/>
        <v>2.9851342673382288</v>
      </c>
      <c r="W193" s="202">
        <f t="shared" si="272"/>
        <v>350</v>
      </c>
      <c r="X193" s="452">
        <f t="shared" si="273"/>
        <v>161.96894224334102</v>
      </c>
      <c r="Z193" s="222">
        <f t="shared" si="274"/>
        <v>1.8973504662791372</v>
      </c>
      <c r="AA193" s="178">
        <f t="shared" si="275"/>
        <v>1.3814258278146387</v>
      </c>
      <c r="AB193" s="178">
        <f t="shared" si="276"/>
        <v>0.28226680876521593</v>
      </c>
      <c r="AC193" s="178"/>
      <c r="AD193" s="178">
        <f t="shared" si="277"/>
        <v>0.59702685346764572</v>
      </c>
      <c r="AE193" s="560">
        <f t="shared" si="278"/>
        <v>2712.6287297054</v>
      </c>
      <c r="AF193" s="543">
        <f t="shared" si="279"/>
        <v>8.5673353472607142E-2</v>
      </c>
      <c r="AH193" s="178">
        <f t="shared" si="280"/>
        <v>3.2511222552170111</v>
      </c>
      <c r="AI193" s="178">
        <f t="shared" si="281"/>
        <v>4.0999999999999996</v>
      </c>
      <c r="AJ193" s="178">
        <f t="shared" si="282"/>
        <v>3.6296296296296298</v>
      </c>
      <c r="AL193" s="560">
        <f t="shared" si="283"/>
        <v>664</v>
      </c>
      <c r="AM193" s="470">
        <f t="shared" si="284"/>
        <v>161.96894224334102</v>
      </c>
      <c r="AO193" t="str">
        <f t="shared" si="285"/>
        <v/>
      </c>
      <c r="AP193" t="str">
        <f t="shared" si="286"/>
        <v/>
      </c>
      <c r="AR193" s="6">
        <f t="shared" si="214"/>
        <v>6.1740231562271166</v>
      </c>
      <c r="AS193" s="6">
        <f t="shared" si="291"/>
        <v>3.1888888888888887</v>
      </c>
      <c r="AT193" s="6">
        <f t="shared" si="292"/>
        <v>2.985134267338228</v>
      </c>
      <c r="AU193" s="178">
        <f t="shared" si="293"/>
        <v>0.51650096026487635</v>
      </c>
      <c r="AW193" s="6">
        <f>L*Iout^2/(2*Vripple1_spec*Vout*Npri_sec1^2)*1000000000*((1+N193)/(1-N193))^2</f>
        <v>21.552126200274348</v>
      </c>
      <c r="AX193" s="6">
        <f>L*F193^2/(2*Cout*Vout*Nps^2)*1000000000*((1+N193)/(1-N193))^2+F193*RCoutEsr</f>
        <v>39.899897206899567</v>
      </c>
      <c r="AY193" s="6">
        <f>L*Iout2^2/(2*Vout_ripple2*Vout2*Npri_sec2^2)*1000000000*((1+N193)/(1-N193))^2</f>
        <v>8.4187992969821668</v>
      </c>
      <c r="AZ193" s="6">
        <f>L*G193^2/(2*Cout2*Vout2*Npri_sec2^2)*1000000000*((1+N193)/(1-N193))^2+G193*CoutEsr2</f>
        <v>16.052772346445142</v>
      </c>
      <c r="BA193" s="6">
        <f>(H193+I193)/Efficiency/J193*AT193/Vinripple1</f>
        <v>6.697252500497358</v>
      </c>
      <c r="BB193" s="6"/>
      <c r="BC193" s="6"/>
      <c r="BD193" s="178">
        <f t="shared" si="235"/>
        <v>1.701213404411938</v>
      </c>
      <c r="BE193" s="178">
        <f t="shared" si="236"/>
        <v>1.6459666721967596</v>
      </c>
      <c r="BF193" s="178">
        <f t="shared" si="237"/>
        <v>1.0287291701229746</v>
      </c>
      <c r="BG193" s="178"/>
      <c r="BH193" s="543">
        <f t="shared" si="238"/>
        <v>0.31835397520859421</v>
      </c>
      <c r="BI193" s="543">
        <f t="shared" si="239"/>
        <v>7.0557720464755419E-2</v>
      </c>
      <c r="BJ193" s="543">
        <f t="shared" si="240"/>
        <v>8.0984471121670516E-3</v>
      </c>
      <c r="BK193" s="543">
        <f t="shared" si="241"/>
        <v>1.6456297608395704E-2</v>
      </c>
      <c r="BL193">
        <f t="shared" si="242"/>
        <v>2.6099999999999999E-3</v>
      </c>
      <c r="BM193" s="470">
        <f t="shared" si="243"/>
        <v>416.07644039391232</v>
      </c>
      <c r="BN193" s="178">
        <f t="shared" si="244"/>
        <v>0.2656</v>
      </c>
      <c r="BO193" s="178">
        <f t="shared" si="245"/>
        <v>0.16600000000000001</v>
      </c>
      <c r="BP193" s="543"/>
      <c r="BR193" s="470">
        <f t="shared" si="246"/>
        <v>431.59999999999997</v>
      </c>
      <c r="BS193" s="543">
        <f t="shared" si="247"/>
        <v>0.11576508189403426</v>
      </c>
      <c r="BT193" s="543">
        <f t="shared" si="248"/>
        <v>0.108368251439299</v>
      </c>
      <c r="BU193" s="543">
        <f t="shared" si="249"/>
        <v>3.1748511163857122E-2</v>
      </c>
      <c r="BV193" s="543">
        <f t="shared" si="250"/>
        <v>0</v>
      </c>
      <c r="BW193" s="648">
        <f t="shared" si="287"/>
        <v>0.10210117196664611</v>
      </c>
      <c r="BX193" s="470">
        <f t="shared" ref="BX193:BX210" si="294">SUM(BS193:BW193)*1000</f>
        <v>357.98301646383646</v>
      </c>
      <c r="BY193" s="178">
        <f t="shared" ref="BY193:BY210" si="295">SUM(BH193:BL193,BN193:BQ193,BS193:BW193)</f>
        <v>1.2056594568577488</v>
      </c>
      <c r="BZ193" s="6">
        <f t="shared" ref="BZ193:BZ210" si="296">MIN(H193+I193,O193+P193)</f>
        <v>12.532955599547506</v>
      </c>
      <c r="CA193" s="178">
        <f t="shared" ref="CA193:CA210" si="297">BZ193/(BZ193+BY193)</f>
        <v>0.91224301344001613</v>
      </c>
      <c r="CB193" s="6">
        <f t="shared" ref="CB193:CB210" si="298">CA193*100</f>
        <v>91.224301344001617</v>
      </c>
      <c r="CC193">
        <f t="shared" ref="CC193:CC210" si="299">F193/Iout*100</f>
        <v>83</v>
      </c>
      <c r="CE193" s="577">
        <f t="shared" si="288"/>
        <v>-50</v>
      </c>
      <c r="CF193">
        <f t="shared" si="289"/>
        <v>-50</v>
      </c>
    </row>
    <row r="194" spans="5:84" x14ac:dyDescent="0.2">
      <c r="E194" s="175">
        <v>84</v>
      </c>
      <c r="F194" s="222">
        <f t="shared" si="290"/>
        <v>0.67200000000000004</v>
      </c>
      <c r="G194" s="222">
        <f t="shared" si="257"/>
        <v>0.42</v>
      </c>
      <c r="H194" s="222">
        <f t="shared" si="258"/>
        <v>8.0640000000000001</v>
      </c>
      <c r="I194" s="222">
        <f t="shared" si="259"/>
        <v>5.04</v>
      </c>
      <c r="J194" s="556">
        <f t="shared" si="260"/>
        <v>9</v>
      </c>
      <c r="K194" s="452">
        <f t="shared" si="261"/>
        <v>9.5028280542986394</v>
      </c>
      <c r="L194" s="452">
        <f t="shared" si="262"/>
        <v>21.25</v>
      </c>
      <c r="M194" s="452"/>
      <c r="N194" s="222">
        <f t="shared" si="263"/>
        <v>0.57647058823529407</v>
      </c>
      <c r="O194" s="177">
        <f t="shared" si="264"/>
        <v>6.2179004524886858</v>
      </c>
      <c r="P194" s="177">
        <f t="shared" si="265"/>
        <v>6.3150551470588203</v>
      </c>
      <c r="Q194" s="222">
        <f t="shared" si="266"/>
        <v>0.51815837104072382</v>
      </c>
      <c r="R194" s="222">
        <f t="shared" si="267"/>
        <v>0.51815837104072382</v>
      </c>
      <c r="S194" s="222">
        <f t="shared" si="268"/>
        <v>9.2528280542986394</v>
      </c>
      <c r="T194" s="222">
        <f t="shared" si="269"/>
        <v>4.0999999999999996</v>
      </c>
      <c r="U194" s="222">
        <f t="shared" si="270"/>
        <v>3.1888888888888887</v>
      </c>
      <c r="V194" s="222">
        <f t="shared" si="271"/>
        <v>3.0201535622879598</v>
      </c>
      <c r="W194" s="202">
        <f t="shared" si="272"/>
        <v>350</v>
      </c>
      <c r="X194" s="452">
        <f t="shared" si="273"/>
        <v>161.05542970002759</v>
      </c>
      <c r="Z194" s="222">
        <f t="shared" si="274"/>
        <v>1.8866493193431804</v>
      </c>
      <c r="AA194" s="178">
        <f t="shared" si="275"/>
        <v>1.3897489420981612</v>
      </c>
      <c r="AB194" s="178">
        <f t="shared" si="276"/>
        <v>0.28236588107187394</v>
      </c>
      <c r="AC194" s="178"/>
      <c r="AD194" s="178">
        <f t="shared" si="277"/>
        <v>0.60403071245759199</v>
      </c>
      <c r="AE194" s="560">
        <f t="shared" si="278"/>
        <v>2713.4785639877141</v>
      </c>
      <c r="AF194" s="543">
        <f t="shared" si="279"/>
        <v>8.6678407237664429E-2</v>
      </c>
      <c r="AH194" s="178">
        <f t="shared" si="280"/>
        <v>3.2706486905723851</v>
      </c>
      <c r="AI194" s="178">
        <f t="shared" si="281"/>
        <v>4.0999999999999996</v>
      </c>
      <c r="AJ194" s="178">
        <f t="shared" si="282"/>
        <v>3.6296296296296298</v>
      </c>
      <c r="AL194" s="560">
        <f t="shared" si="283"/>
        <v>672</v>
      </c>
      <c r="AM194" s="470">
        <f t="shared" si="284"/>
        <v>161.05542970002759</v>
      </c>
      <c r="AO194" t="str">
        <f t="shared" si="285"/>
        <v/>
      </c>
      <c r="AP194" t="str">
        <f t="shared" si="286"/>
        <v/>
      </c>
      <c r="AR194" s="6">
        <f t="shared" si="214"/>
        <v>6.2090424511768489</v>
      </c>
      <c r="AS194" s="6">
        <f t="shared" si="291"/>
        <v>3.1888888888888887</v>
      </c>
      <c r="AT194" s="6">
        <f t="shared" si="292"/>
        <v>3.0201535622879603</v>
      </c>
      <c r="AU194" s="178">
        <f t="shared" si="293"/>
        <v>0.51358787026564345</v>
      </c>
      <c r="AW194" s="6">
        <f>L*Iout^2/(2*Vripple1_spec*Vout*Npri_sec1^2)*1000000000*((1+N194)/(1-N194))^2</f>
        <v>21.552126200274348</v>
      </c>
      <c r="AX194" s="6">
        <f>L*F194^2/(2*Cout*Vout*Nps^2)*1000000000*((1+N194)/(1-N194))^2+F194*RCoutEsr</f>
        <v>40.842843183609133</v>
      </c>
      <c r="AY194" s="6">
        <f>L*Iout2^2/(2*Vout_ripple2*Vout2*Npri_sec2^2)*1000000000*((1+N194)/(1-N194))^2</f>
        <v>8.4187992969821668</v>
      </c>
      <c r="AZ194" s="6">
        <f>L*G194^2/(2*Cout2*Vout2*Npri_sec2^2)*1000000000*((1+N194)/(1-N194))^2+G194*CoutEsr2</f>
        <v>16.426735618597316</v>
      </c>
      <c r="BA194" s="6">
        <f>(H194+I194)/Efficiency/J194*AT194/Vinripple1</f>
        <v>6.8574558856783927</v>
      </c>
      <c r="BB194" s="6"/>
      <c r="BC194" s="6"/>
      <c r="BD194" s="178">
        <f t="shared" si="235"/>
        <v>1.6964091585036776</v>
      </c>
      <c r="BE194" s="178">
        <f t="shared" si="236"/>
        <v>1.6509177145691356</v>
      </c>
      <c r="BF194" s="178">
        <f t="shared" si="237"/>
        <v>1.0318235716057096</v>
      </c>
      <c r="BG194" s="178"/>
      <c r="BH194" s="543">
        <f t="shared" si="238"/>
        <v>0.31655844363606711</v>
      </c>
      <c r="BI194" s="543">
        <f t="shared" si="239"/>
        <v>7.0159771563074513E-2</v>
      </c>
      <c r="BJ194" s="543">
        <f t="shared" si="240"/>
        <v>8.0527714850013796E-3</v>
      </c>
      <c r="BK194" s="543">
        <f t="shared" si="241"/>
        <v>1.6363483306631711E-2</v>
      </c>
      <c r="BL194">
        <f t="shared" si="242"/>
        <v>2.6099999999999999E-3</v>
      </c>
      <c r="BM194" s="470">
        <f t="shared" si="243"/>
        <v>413.74446999077475</v>
      </c>
      <c r="BN194" s="178">
        <f t="shared" si="244"/>
        <v>0.26880000000000004</v>
      </c>
      <c r="BO194" s="178">
        <f t="shared" si="245"/>
        <v>0.16800000000000001</v>
      </c>
      <c r="BP194" s="543"/>
      <c r="BR194" s="470">
        <f t="shared" si="246"/>
        <v>436.80000000000007</v>
      </c>
      <c r="BS194" s="543">
        <f t="shared" si="247"/>
        <v>0.11511216132220621</v>
      </c>
      <c r="BT194" s="543">
        <f t="shared" si="248"/>
        <v>0.10902117201112711</v>
      </c>
      <c r="BU194" s="543">
        <f t="shared" si="249"/>
        <v>3.1939796487634883E-2</v>
      </c>
      <c r="BV194" s="543">
        <f t="shared" si="250"/>
        <v>0</v>
      </c>
      <c r="BW194" s="648">
        <f t="shared" si="287"/>
        <v>0.1015253164971549</v>
      </c>
      <c r="BX194" s="470">
        <f t="shared" si="294"/>
        <v>357.59844631812308</v>
      </c>
      <c r="BY194" s="178">
        <f t="shared" si="295"/>
        <v>1.2081429163088981</v>
      </c>
      <c r="BZ194" s="6">
        <f t="shared" si="296"/>
        <v>12.532955599547506</v>
      </c>
      <c r="CA194" s="178">
        <f t="shared" si="297"/>
        <v>0.91207814172100043</v>
      </c>
      <c r="CB194" s="6">
        <f t="shared" si="298"/>
        <v>91.207814172100043</v>
      </c>
      <c r="CC194">
        <f t="shared" si="299"/>
        <v>84</v>
      </c>
      <c r="CE194" s="577">
        <f t="shared" si="288"/>
        <v>-50</v>
      </c>
      <c r="CF194">
        <f t="shared" si="289"/>
        <v>-50</v>
      </c>
    </row>
    <row r="195" spans="5:84" x14ac:dyDescent="0.2">
      <c r="E195" s="175">
        <v>85</v>
      </c>
      <c r="F195" s="222">
        <f t="shared" si="290"/>
        <v>0.68</v>
      </c>
      <c r="G195" s="222">
        <f t="shared" si="257"/>
        <v>0.42499999999999999</v>
      </c>
      <c r="H195" s="222">
        <f t="shared" si="258"/>
        <v>8.16</v>
      </c>
      <c r="I195" s="222">
        <f t="shared" si="259"/>
        <v>5.0999999999999996</v>
      </c>
      <c r="J195" s="556">
        <f t="shared" si="260"/>
        <v>9</v>
      </c>
      <c r="K195" s="452">
        <f t="shared" si="261"/>
        <v>9.3939712536598314</v>
      </c>
      <c r="L195" s="452">
        <f t="shared" si="262"/>
        <v>21.25</v>
      </c>
      <c r="M195" s="452"/>
      <c r="N195" s="222">
        <f t="shared" si="263"/>
        <v>0.57647058823529407</v>
      </c>
      <c r="O195" s="177">
        <f t="shared" si="264"/>
        <v>6.2179004524886858</v>
      </c>
      <c r="P195" s="177">
        <f t="shared" si="265"/>
        <v>6.3150551470588203</v>
      </c>
      <c r="Q195" s="222">
        <f t="shared" si="266"/>
        <v>0.51815837104072382</v>
      </c>
      <c r="R195" s="222">
        <f t="shared" si="267"/>
        <v>0.51815837104072382</v>
      </c>
      <c r="S195" s="222">
        <f t="shared" si="268"/>
        <v>9.1439712536598314</v>
      </c>
      <c r="T195" s="222">
        <f t="shared" si="269"/>
        <v>4.0999999999999996</v>
      </c>
      <c r="U195" s="222">
        <f t="shared" si="270"/>
        <v>3.1888888888888887</v>
      </c>
      <c r="V195" s="222">
        <f t="shared" si="271"/>
        <v>3.0551509287212966</v>
      </c>
      <c r="W195" s="202">
        <f t="shared" si="272"/>
        <v>350</v>
      </c>
      <c r="X195" s="452">
        <f t="shared" si="273"/>
        <v>160.15272631344868</v>
      </c>
      <c r="Z195" s="222">
        <f t="shared" si="274"/>
        <v>1.8760747939575415</v>
      </c>
      <c r="AA195" s="178">
        <f t="shared" si="275"/>
        <v>1.3979735729536582</v>
      </c>
      <c r="AB195" s="178">
        <f t="shared" si="276"/>
        <v>0.28244493661322856</v>
      </c>
      <c r="AC195" s="178"/>
      <c r="AD195" s="178">
        <f t="shared" si="277"/>
        <v>0.61103018574425938</v>
      </c>
      <c r="AE195" s="560">
        <f t="shared" si="278"/>
        <v>2714.3283982700295</v>
      </c>
      <c r="AF195" s="543">
        <f t="shared" si="279"/>
        <v>8.7682831654301199E-2</v>
      </c>
      <c r="AH195" s="178">
        <f t="shared" si="280"/>
        <v>3.2900592389679497</v>
      </c>
      <c r="AI195" s="178">
        <f t="shared" si="281"/>
        <v>4.0999999999999996</v>
      </c>
      <c r="AJ195" s="178">
        <f t="shared" si="282"/>
        <v>3.6296296296296298</v>
      </c>
      <c r="AL195" s="560">
        <f t="shared" si="283"/>
        <v>680</v>
      </c>
      <c r="AM195" s="470">
        <f t="shared" si="284"/>
        <v>160.15272631344868</v>
      </c>
      <c r="AO195" t="str">
        <f t="shared" si="285"/>
        <v/>
      </c>
      <c r="AP195" t="str">
        <f t="shared" si="286"/>
        <v/>
      </c>
      <c r="AR195" s="6">
        <f t="shared" si="214"/>
        <v>6.2440398176101848</v>
      </c>
      <c r="AS195" s="6">
        <f t="shared" si="291"/>
        <v>3.1888888888888887</v>
      </c>
      <c r="AT195" s="6">
        <f t="shared" si="292"/>
        <v>3.0551509287212961</v>
      </c>
      <c r="AU195" s="178">
        <f t="shared" si="293"/>
        <v>0.51070924946621965</v>
      </c>
      <c r="AW195" s="6">
        <f>L*Iout^2/(2*Vripple1_spec*Vout*Npri_sec1^2)*1000000000*((1+N195)/(1-N195))^2</f>
        <v>21.552126200274348</v>
      </c>
      <c r="AX195" s="6">
        <f>L*F195^2/(2*Cout*Vout*Nps^2)*1000000000*((1+N195)/(1-N195))^2+F195*RCoutEsr</f>
        <v>41.796794501357148</v>
      </c>
      <c r="AY195" s="6">
        <f>L*Iout2^2/(2*Vout_ripple2*Vout2*Npri_sec2^2)*1000000000*((1+N195)/(1-N195))^2</f>
        <v>8.4187992969821668</v>
      </c>
      <c r="AZ195" s="6">
        <f>L*G195^2/(2*Cout2*Vout2*Npri_sec2^2)*1000000000*((1+N195)/(1-N195))^2+G195*CoutEsr2</f>
        <v>16.804997852092633</v>
      </c>
      <c r="BA195" s="6">
        <f>(H195+I195)/Efficiency/J195*AT195/Vinripple1</f>
        <v>7.0195020688489294</v>
      </c>
      <c r="BB195" s="6"/>
      <c r="BC195" s="6"/>
      <c r="BD195" s="178">
        <f t="shared" si="235"/>
        <v>1.6916483562418392</v>
      </c>
      <c r="BE195" s="178">
        <f t="shared" si="236"/>
        <v>1.6557956311567004</v>
      </c>
      <c r="BF195" s="178">
        <f t="shared" si="237"/>
        <v>1.0348722694729375</v>
      </c>
      <c r="BG195" s="178"/>
      <c r="BH195" s="543">
        <f t="shared" si="238"/>
        <v>0.31478415772932883</v>
      </c>
      <c r="BI195" s="543">
        <f t="shared" si="239"/>
        <v>6.9766531400296081E-2</v>
      </c>
      <c r="BJ195" s="543">
        <f t="shared" si="240"/>
        <v>8.0076363156724329E-3</v>
      </c>
      <c r="BK195" s="543">
        <f t="shared" si="241"/>
        <v>1.627176723208125E-2</v>
      </c>
      <c r="BL195">
        <f t="shared" si="242"/>
        <v>2.6099999999999999E-3</v>
      </c>
      <c r="BM195" s="470">
        <f t="shared" si="243"/>
        <v>411.44009267737857</v>
      </c>
      <c r="BN195" s="178">
        <f t="shared" si="244"/>
        <v>0.27200000000000002</v>
      </c>
      <c r="BO195" s="178">
        <f t="shared" si="245"/>
        <v>0.17</v>
      </c>
      <c r="BP195" s="543"/>
      <c r="BR195" s="470">
        <f t="shared" si="246"/>
        <v>442.00000000000006</v>
      </c>
      <c r="BS195" s="543">
        <f t="shared" si="247"/>
        <v>0.11446696644702867</v>
      </c>
      <c r="BT195" s="543">
        <f t="shared" si="248"/>
        <v>0.10966636688630463</v>
      </c>
      <c r="BU195" s="543">
        <f t="shared" si="249"/>
        <v>3.2128818423722047E-2</v>
      </c>
      <c r="BV195" s="543">
        <f t="shared" si="250"/>
        <v>0</v>
      </c>
      <c r="BW195" s="648">
        <f t="shared" si="287"/>
        <v>0.10095627484984022</v>
      </c>
      <c r="BX195" s="470">
        <f t="shared" si="294"/>
        <v>357.21842660689555</v>
      </c>
      <c r="BY195" s="178">
        <f t="shared" si="295"/>
        <v>1.2106585192842743</v>
      </c>
      <c r="BZ195" s="6">
        <f t="shared" si="296"/>
        <v>12.532955599547506</v>
      </c>
      <c r="CA195" s="178">
        <f t="shared" si="297"/>
        <v>0.91191119680627486</v>
      </c>
      <c r="CB195" s="6">
        <f t="shared" si="298"/>
        <v>91.19111968062748</v>
      </c>
      <c r="CC195">
        <f t="shared" si="299"/>
        <v>85</v>
      </c>
      <c r="CE195" s="577">
        <f t="shared" si="288"/>
        <v>-50</v>
      </c>
      <c r="CF195">
        <f t="shared" si="289"/>
        <v>-50</v>
      </c>
    </row>
    <row r="196" spans="5:84" x14ac:dyDescent="0.2">
      <c r="E196" s="175">
        <v>86</v>
      </c>
      <c r="F196" s="222">
        <f t="shared" si="290"/>
        <v>0.68800000000000006</v>
      </c>
      <c r="G196" s="222">
        <f t="shared" si="257"/>
        <v>0.43</v>
      </c>
      <c r="H196" s="222">
        <f t="shared" si="258"/>
        <v>8.2560000000000002</v>
      </c>
      <c r="I196" s="222">
        <f t="shared" si="259"/>
        <v>5.16</v>
      </c>
      <c r="J196" s="556">
        <f t="shared" si="260"/>
        <v>9</v>
      </c>
      <c r="K196" s="452">
        <f t="shared" si="261"/>
        <v>9.2876460065242519</v>
      </c>
      <c r="L196" s="452">
        <f t="shared" si="262"/>
        <v>21.25</v>
      </c>
      <c r="M196" s="452"/>
      <c r="N196" s="222">
        <f t="shared" si="263"/>
        <v>0.57647058823529407</v>
      </c>
      <c r="O196" s="177">
        <f t="shared" si="264"/>
        <v>6.2179004524886858</v>
      </c>
      <c r="P196" s="177">
        <f t="shared" si="265"/>
        <v>6.3150551470588203</v>
      </c>
      <c r="Q196" s="222">
        <f t="shared" si="266"/>
        <v>0.51815837104072382</v>
      </c>
      <c r="R196" s="222">
        <f t="shared" si="267"/>
        <v>0.51815837104072382</v>
      </c>
      <c r="S196" s="222">
        <f t="shared" si="268"/>
        <v>9.0376460065242519</v>
      </c>
      <c r="T196" s="222">
        <f t="shared" si="269"/>
        <v>4.0999999999999996</v>
      </c>
      <c r="U196" s="222">
        <f t="shared" si="270"/>
        <v>3.1888888888888887</v>
      </c>
      <c r="V196" s="222">
        <f t="shared" si="271"/>
        <v>3.0901263872287159</v>
      </c>
      <c r="W196" s="202">
        <f t="shared" si="272"/>
        <v>350</v>
      </c>
      <c r="X196" s="452">
        <f t="shared" si="273"/>
        <v>159.2606413625916</v>
      </c>
      <c r="Z196" s="222">
        <f t="shared" si="274"/>
        <v>1.8656246559617875</v>
      </c>
      <c r="AA196" s="178">
        <f t="shared" si="275"/>
        <v>1.406101458061467</v>
      </c>
      <c r="AB196" s="178">
        <f t="shared" si="276"/>
        <v>0.28250465911696993</v>
      </c>
      <c r="AC196" s="178"/>
      <c r="AD196" s="178">
        <f t="shared" si="277"/>
        <v>0.6180252774457432</v>
      </c>
      <c r="AE196" s="560">
        <f t="shared" si="278"/>
        <v>2715.1782325523441</v>
      </c>
      <c r="AF196" s="543">
        <f t="shared" si="279"/>
        <v>8.8686627313464134E-2</v>
      </c>
      <c r="AH196" s="178">
        <f t="shared" si="280"/>
        <v>3.309355939558916</v>
      </c>
      <c r="AI196" s="178">
        <f t="shared" si="281"/>
        <v>4.0999999999999996</v>
      </c>
      <c r="AJ196" s="178">
        <f t="shared" si="282"/>
        <v>3.6296296296296298</v>
      </c>
      <c r="AL196" s="560">
        <f t="shared" si="283"/>
        <v>688</v>
      </c>
      <c r="AM196" s="470">
        <f t="shared" si="284"/>
        <v>159.2606413625916</v>
      </c>
      <c r="AO196" t="str">
        <f t="shared" si="285"/>
        <v/>
      </c>
      <c r="AP196" t="str">
        <f t="shared" si="286"/>
        <v/>
      </c>
      <c r="AR196" s="6">
        <f t="shared" si="214"/>
        <v>6.2790152761176055</v>
      </c>
      <c r="AS196" s="6">
        <f t="shared" si="291"/>
        <v>3.1888888888888887</v>
      </c>
      <c r="AT196" s="6">
        <f t="shared" si="292"/>
        <v>3.0901263872287168</v>
      </c>
      <c r="AU196" s="178">
        <f t="shared" si="293"/>
        <v>0.50786448967848652</v>
      </c>
      <c r="AW196" s="6">
        <f>L*Iout^2/(2*Vripple1_spec*Vout*Npri_sec1^2)*1000000000*((1+N196)/(1-N196))^2</f>
        <v>21.552126200274348</v>
      </c>
      <c r="AX196" s="6">
        <f>L*F196^2/(2*Cout*Vout*Nps^2)*1000000000*((1+N196)/(1-N196))^2+F196*RCoutEsr</f>
        <v>42.761751160143604</v>
      </c>
      <c r="AY196" s="6">
        <f>L*Iout2^2/(2*Vout_ripple2*Vout2*Npri_sec2^2)*1000000000*((1+N196)/(1-N196))^2</f>
        <v>8.4187992969821668</v>
      </c>
      <c r="AZ196" s="6">
        <f>L*G196^2/(2*Cout2*Vout2*Npri_sec2^2)*1000000000*((1+N196)/(1-N196))^2+G196*CoutEsr2</f>
        <v>17.187559046931089</v>
      </c>
      <c r="BA196" s="6">
        <f>(H196+I196)/Efficiency/J196*AT196/Vinripple1</f>
        <v>7.1833893196552667</v>
      </c>
      <c r="BB196" s="6"/>
      <c r="BC196" s="6"/>
      <c r="BD196" s="178">
        <f t="shared" si="235"/>
        <v>1.6869303553590425</v>
      </c>
      <c r="BE196" s="178">
        <f t="shared" si="236"/>
        <v>1.6606020924657259</v>
      </c>
      <c r="BF196" s="178">
        <f t="shared" si="237"/>
        <v>1.0378763077910784</v>
      </c>
      <c r="BG196" s="178"/>
      <c r="BH196" s="543">
        <f t="shared" si="238"/>
        <v>0.31303074262149638</v>
      </c>
      <c r="BI196" s="543">
        <f t="shared" si="239"/>
        <v>6.9377916893578959E-2</v>
      </c>
      <c r="BJ196" s="543">
        <f t="shared" si="240"/>
        <v>7.9630320681295802E-3</v>
      </c>
      <c r="BK196" s="543">
        <f t="shared" si="241"/>
        <v>1.6181130007191437E-2</v>
      </c>
      <c r="BL196">
        <f t="shared" si="242"/>
        <v>2.6099999999999999E-3</v>
      </c>
      <c r="BM196" s="470">
        <f t="shared" si="243"/>
        <v>409.16282159039639</v>
      </c>
      <c r="BN196" s="178">
        <f t="shared" si="244"/>
        <v>0.27520000000000006</v>
      </c>
      <c r="BO196" s="178">
        <f t="shared" si="245"/>
        <v>0.17200000000000001</v>
      </c>
      <c r="BP196" s="543"/>
      <c r="BR196" s="470">
        <f t="shared" si="246"/>
        <v>447.20000000000005</v>
      </c>
      <c r="BS196" s="543">
        <f t="shared" si="247"/>
        <v>0.11382936095327141</v>
      </c>
      <c r="BT196" s="543">
        <f t="shared" si="248"/>
        <v>0.1103039723800619</v>
      </c>
      <c r="BU196" s="543">
        <f t="shared" si="249"/>
        <v>3.231561690822124E-2</v>
      </c>
      <c r="BV196" s="543">
        <f t="shared" si="250"/>
        <v>0</v>
      </c>
      <c r="BW196" s="648">
        <f t="shared" si="287"/>
        <v>0.10039392679894368</v>
      </c>
      <c r="BX196" s="470">
        <f t="shared" si="294"/>
        <v>356.84287704049819</v>
      </c>
      <c r="BY196" s="178">
        <f t="shared" si="295"/>
        <v>1.213205698630895</v>
      </c>
      <c r="BZ196" s="6">
        <f t="shared" si="296"/>
        <v>12.532955599547506</v>
      </c>
      <c r="CA196" s="178">
        <f t="shared" si="297"/>
        <v>0.91174221862276084</v>
      </c>
      <c r="CB196" s="6">
        <f t="shared" si="298"/>
        <v>91.174221862276084</v>
      </c>
      <c r="CC196">
        <f t="shared" si="299"/>
        <v>86</v>
      </c>
      <c r="CE196" s="577">
        <f t="shared" si="288"/>
        <v>-50</v>
      </c>
      <c r="CF196">
        <f t="shared" si="289"/>
        <v>-50</v>
      </c>
    </row>
    <row r="197" spans="5:84" x14ac:dyDescent="0.2">
      <c r="E197" s="175">
        <v>87</v>
      </c>
      <c r="F197" s="222">
        <f t="shared" si="290"/>
        <v>0.69600000000000006</v>
      </c>
      <c r="G197" s="222">
        <f t="shared" si="257"/>
        <v>0.435</v>
      </c>
      <c r="H197" s="222">
        <f t="shared" si="258"/>
        <v>8.3520000000000003</v>
      </c>
      <c r="I197" s="222">
        <f t="shared" si="259"/>
        <v>5.22</v>
      </c>
      <c r="J197" s="556">
        <f t="shared" si="260"/>
        <v>9</v>
      </c>
      <c r="K197" s="452">
        <f t="shared" si="261"/>
        <v>9.1837650179435126</v>
      </c>
      <c r="L197" s="452">
        <f t="shared" si="262"/>
        <v>21.25</v>
      </c>
      <c r="M197" s="452"/>
      <c r="N197" s="222">
        <f t="shared" si="263"/>
        <v>0.57647058823529407</v>
      </c>
      <c r="O197" s="177">
        <f t="shared" si="264"/>
        <v>6.2179004524886858</v>
      </c>
      <c r="P197" s="177">
        <f t="shared" si="265"/>
        <v>6.3150551470588203</v>
      </c>
      <c r="Q197" s="222">
        <f t="shared" si="266"/>
        <v>0.51815837104072382</v>
      </c>
      <c r="R197" s="222">
        <f t="shared" si="267"/>
        <v>0.51815837104072382</v>
      </c>
      <c r="S197" s="222">
        <f t="shared" si="268"/>
        <v>8.9337650179435126</v>
      </c>
      <c r="T197" s="222">
        <f t="shared" si="269"/>
        <v>4.0999999999999996</v>
      </c>
      <c r="U197" s="222">
        <f t="shared" si="270"/>
        <v>3.1888888888888887</v>
      </c>
      <c r="V197" s="222">
        <f t="shared" si="271"/>
        <v>3.1250799583749242</v>
      </c>
      <c r="W197" s="202">
        <f t="shared" si="272"/>
        <v>350</v>
      </c>
      <c r="X197" s="452">
        <f t="shared" si="273"/>
        <v>158.37898858708411</v>
      </c>
      <c r="Z197" s="222">
        <f t="shared" si="274"/>
        <v>1.8552967234486992</v>
      </c>
      <c r="AA197" s="178">
        <f t="shared" si="275"/>
        <v>1.4141342944605353</v>
      </c>
      <c r="AB197" s="178">
        <f t="shared" si="276"/>
        <v>0.28254570863389977</v>
      </c>
      <c r="AC197" s="178"/>
      <c r="AD197" s="178">
        <f t="shared" si="277"/>
        <v>0.62501599167498478</v>
      </c>
      <c r="AE197" s="560">
        <f t="shared" si="278"/>
        <v>2716.0280668346595</v>
      </c>
      <c r="AF197" s="543">
        <f t="shared" si="279"/>
        <v>8.9689794805360309E-2</v>
      </c>
      <c r="AH197" s="178">
        <f t="shared" si="280"/>
        <v>3.3285407723910168</v>
      </c>
      <c r="AI197" s="178">
        <f t="shared" si="281"/>
        <v>4.0999999999999996</v>
      </c>
      <c r="AJ197" s="178">
        <f t="shared" si="282"/>
        <v>3.6296296296296298</v>
      </c>
      <c r="AL197" s="560">
        <f t="shared" si="283"/>
        <v>696.00000000000011</v>
      </c>
      <c r="AM197" s="470">
        <f t="shared" si="284"/>
        <v>158.37898858708411</v>
      </c>
      <c r="AO197" t="str">
        <f t="shared" si="285"/>
        <v/>
      </c>
      <c r="AP197" t="str">
        <f t="shared" si="286"/>
        <v/>
      </c>
      <c r="AR197" s="6">
        <f t="shared" si="214"/>
        <v>6.3139688472638129</v>
      </c>
      <c r="AS197" s="6">
        <f t="shared" si="291"/>
        <v>3.1888888888888887</v>
      </c>
      <c r="AT197" s="6">
        <f t="shared" si="292"/>
        <v>3.1250799583749242</v>
      </c>
      <c r="AU197" s="178">
        <f t="shared" si="293"/>
        <v>0.50505299693881256</v>
      </c>
      <c r="AW197" s="6">
        <f>L*Iout^2/(2*Vripple1_spec*Vout*Npri_sec1^2)*1000000000*((1+N197)/(1-N197))^2</f>
        <v>21.552126200274348</v>
      </c>
      <c r="AX197" s="6">
        <f>L*F197^2/(2*Cout*Vout*Nps^2)*1000000000*((1+N197)/(1-N197))^2+F197*RCoutEsr</f>
        <v>43.737713159968479</v>
      </c>
      <c r="AY197" s="6">
        <f>L*Iout2^2/(2*Vout_ripple2*Vout2*Npri_sec2^2)*1000000000*((1+N197)/(1-N197))^2</f>
        <v>8.4187992969821668</v>
      </c>
      <c r="AZ197" s="6">
        <f>L*G197^2/(2*Cout2*Vout2*Npri_sec2^2)*1000000000*((1+N197)/(1-N197))^2+G197*CoutEsr2</f>
        <v>17.574419203112683</v>
      </c>
      <c r="BA197" s="6">
        <f>(H197+I197)/Efficiency/J197*AT197/Vinripple1</f>
        <v>7.3491159099093721</v>
      </c>
      <c r="BB197" s="6"/>
      <c r="BC197" s="6"/>
      <c r="BD197" s="178">
        <f t="shared" si="235"/>
        <v>1.6822545267726716</v>
      </c>
      <c r="BE197" s="178">
        <f t="shared" si="236"/>
        <v>1.6653387164436508</v>
      </c>
      <c r="BF197" s="178">
        <f t="shared" si="237"/>
        <v>1.0408366977772816</v>
      </c>
      <c r="BG197" s="178"/>
      <c r="BH197" s="543">
        <f t="shared" si="238"/>
        <v>0.31129783221318597</v>
      </c>
      <c r="BI197" s="543">
        <f t="shared" si="239"/>
        <v>6.8993846903248501E-2</v>
      </c>
      <c r="BJ197" s="543">
        <f t="shared" si="240"/>
        <v>7.9189494293542047E-3</v>
      </c>
      <c r="BK197" s="543">
        <f t="shared" si="241"/>
        <v>1.6091552707617411E-2</v>
      </c>
      <c r="BL197">
        <f t="shared" si="242"/>
        <v>2.6099999999999999E-3</v>
      </c>
      <c r="BM197" s="470">
        <f t="shared" si="243"/>
        <v>406.91218125340612</v>
      </c>
      <c r="BN197" s="178">
        <f t="shared" si="244"/>
        <v>0.27840000000000004</v>
      </c>
      <c r="BO197" s="178">
        <f t="shared" si="245"/>
        <v>0.17400000000000002</v>
      </c>
      <c r="BP197" s="543"/>
      <c r="BR197" s="470">
        <f t="shared" si="246"/>
        <v>452.40000000000003</v>
      </c>
      <c r="BS197" s="543">
        <f t="shared" si="247"/>
        <v>0.11319921171388581</v>
      </c>
      <c r="BT197" s="543">
        <f t="shared" si="248"/>
        <v>0.11093412161944746</v>
      </c>
      <c r="BU197" s="543">
        <f t="shared" si="249"/>
        <v>3.250023094319749E-2</v>
      </c>
      <c r="BV197" s="543">
        <f t="shared" si="250"/>
        <v>0</v>
      </c>
      <c r="BW197" s="648">
        <f t="shared" si="287"/>
        <v>9.9838154930583164E-2</v>
      </c>
      <c r="BX197" s="470">
        <f t="shared" si="294"/>
        <v>356.47171920711395</v>
      </c>
      <c r="BY197" s="178">
        <f t="shared" si="295"/>
        <v>1.21578390046052</v>
      </c>
      <c r="BZ197" s="6">
        <f t="shared" si="296"/>
        <v>12.532955599547506</v>
      </c>
      <c r="CA197" s="178">
        <f t="shared" si="297"/>
        <v>0.9115712461888007</v>
      </c>
      <c r="CB197" s="6">
        <f t="shared" si="298"/>
        <v>91.157124618880076</v>
      </c>
      <c r="CC197">
        <f t="shared" si="299"/>
        <v>87</v>
      </c>
      <c r="CE197" s="577">
        <f t="shared" si="288"/>
        <v>-50</v>
      </c>
      <c r="CF197">
        <f t="shared" si="289"/>
        <v>-50</v>
      </c>
    </row>
    <row r="198" spans="5:84" x14ac:dyDescent="0.2">
      <c r="E198" s="175">
        <v>88</v>
      </c>
      <c r="F198" s="222">
        <f t="shared" si="290"/>
        <v>0.70400000000000007</v>
      </c>
      <c r="G198" s="222">
        <f t="shared" si="257"/>
        <v>0.44</v>
      </c>
      <c r="H198" s="222">
        <f t="shared" si="258"/>
        <v>8.4480000000000004</v>
      </c>
      <c r="I198" s="222">
        <f t="shared" si="259"/>
        <v>5.28</v>
      </c>
      <c r="J198" s="556">
        <f t="shared" si="260"/>
        <v>9</v>
      </c>
      <c r="K198" s="452">
        <f t="shared" si="261"/>
        <v>9.0822449609214271</v>
      </c>
      <c r="L198" s="452">
        <f t="shared" si="262"/>
        <v>21.25</v>
      </c>
      <c r="M198" s="452"/>
      <c r="N198" s="222">
        <f t="shared" si="263"/>
        <v>0.57647058823529407</v>
      </c>
      <c r="O198" s="177">
        <f t="shared" si="264"/>
        <v>6.2179004524886858</v>
      </c>
      <c r="P198" s="177">
        <f t="shared" si="265"/>
        <v>6.3150551470588203</v>
      </c>
      <c r="Q198" s="222">
        <f t="shared" si="266"/>
        <v>0.51815837104072382</v>
      </c>
      <c r="R198" s="222">
        <f t="shared" si="267"/>
        <v>0.51815837104072382</v>
      </c>
      <c r="S198" s="222">
        <f t="shared" si="268"/>
        <v>8.8322449609214271</v>
      </c>
      <c r="T198" s="222">
        <f t="shared" si="269"/>
        <v>4.0999999999999996</v>
      </c>
      <c r="U198" s="222">
        <f t="shared" si="270"/>
        <v>3.1888888888888887</v>
      </c>
      <c r="V198" s="222">
        <f t="shared" si="271"/>
        <v>3.160011662698897</v>
      </c>
      <c r="W198" s="202">
        <f t="shared" si="272"/>
        <v>350</v>
      </c>
      <c r="X198" s="452">
        <f t="shared" si="273"/>
        <v>157.50758605754373</v>
      </c>
      <c r="Z198" s="222">
        <f t="shared" si="274"/>
        <v>1.845088865245512</v>
      </c>
      <c r="AA198" s="178">
        <f t="shared" si="275"/>
        <v>1.422073739729681</v>
      </c>
      <c r="AB198" s="178">
        <f t="shared" si="276"/>
        <v>0.28256872244819925</v>
      </c>
      <c r="AC198" s="178"/>
      <c r="AD198" s="178">
        <f t="shared" si="277"/>
        <v>0.63200233253977944</v>
      </c>
      <c r="AE198" s="560">
        <f t="shared" si="278"/>
        <v>2716.877901116974</v>
      </c>
      <c r="AF198" s="543">
        <f t="shared" si="279"/>
        <v>9.0692334719458326E-2</v>
      </c>
      <c r="AH198" s="178">
        <f t="shared" si="280"/>
        <v>3.3476156607718424</v>
      </c>
      <c r="AI198" s="178">
        <f t="shared" si="281"/>
        <v>4.0999999999999996</v>
      </c>
      <c r="AJ198" s="178">
        <f t="shared" si="282"/>
        <v>3.6296296296296298</v>
      </c>
      <c r="AL198" s="560">
        <f t="shared" si="283"/>
        <v>704.00000000000011</v>
      </c>
      <c r="AM198" s="470">
        <f t="shared" si="284"/>
        <v>157.50758605754373</v>
      </c>
      <c r="AO198" t="str">
        <f t="shared" si="285"/>
        <v/>
      </c>
      <c r="AP198" t="str">
        <f t="shared" si="286"/>
        <v/>
      </c>
      <c r="AR198" s="6">
        <f t="shared" ref="AR198:AR264" si="300">1/AM198*1000</f>
        <v>6.3489005515877848</v>
      </c>
      <c r="AS198" s="6">
        <f t="shared" si="291"/>
        <v>3.1888888888888887</v>
      </c>
      <c r="AT198" s="6">
        <f t="shared" si="292"/>
        <v>3.1600116626988961</v>
      </c>
      <c r="AU198" s="178">
        <f t="shared" si="293"/>
        <v>0.50227419109461169</v>
      </c>
      <c r="AW198" s="6">
        <f>L*Iout^2/(2*Vripple1_spec*Vout*Npri_sec1^2)*1000000000*((1+N198)/(1-N198))^2</f>
        <v>21.552126200274348</v>
      </c>
      <c r="AX198" s="6">
        <f>L*F198^2/(2*Cout*Vout*Nps^2)*1000000000*((1+N198)/(1-N198))^2+F198*RCoutEsr</f>
        <v>44.724680500831809</v>
      </c>
      <c r="AY198" s="6">
        <f>L*Iout2^2/(2*Vout_ripple2*Vout2*Npri_sec2^2)*1000000000*((1+N198)/(1-N198))^2</f>
        <v>8.4187992969821668</v>
      </c>
      <c r="AZ198" s="6">
        <f>L*G198^2/(2*Cout2*Vout2*Npri_sec2^2)*1000000000*((1+N198)/(1-N198))^2+G198*CoutEsr2</f>
        <v>17.965578320637423</v>
      </c>
      <c r="BA198" s="6">
        <f>(H198+I198)/Efficiency/J198*AT198/Vinripple1</f>
        <v>7.5166801135855232</v>
      </c>
      <c r="BB198" s="6"/>
      <c r="BC198" s="6"/>
      <c r="BD198" s="178">
        <f t="shared" si="235"/>
        <v>1.6776202542391632</v>
      </c>
      <c r="BE198" s="178">
        <f t="shared" si="236"/>
        <v>1.670007070613732</v>
      </c>
      <c r="BF198" s="178">
        <f t="shared" si="237"/>
        <v>1.0437544191335824</v>
      </c>
      <c r="BG198" s="178"/>
      <c r="BH198" s="543">
        <f t="shared" si="238"/>
        <v>0.30958506891768217</v>
      </c>
      <c r="BI198" s="543">
        <f t="shared" si="239"/>
        <v>6.861424217631748E-2</v>
      </c>
      <c r="BJ198" s="543">
        <f t="shared" si="240"/>
        <v>7.8753793028771869E-3</v>
      </c>
      <c r="BK198" s="543">
        <f t="shared" si="241"/>
        <v>1.6003016849049659E-2</v>
      </c>
      <c r="BL198">
        <f t="shared" si="242"/>
        <v>2.6099999999999999E-3</v>
      </c>
      <c r="BM198" s="470">
        <f t="shared" si="243"/>
        <v>404.68770724592645</v>
      </c>
      <c r="BN198" s="178">
        <f t="shared" si="244"/>
        <v>0.28160000000000002</v>
      </c>
      <c r="BO198" s="178">
        <f t="shared" si="245"/>
        <v>0.17600000000000002</v>
      </c>
      <c r="BP198" s="543"/>
      <c r="BR198" s="470">
        <f t="shared" si="246"/>
        <v>457.6</v>
      </c>
      <c r="BS198" s="543">
        <f t="shared" si="247"/>
        <v>0.11257638869733898</v>
      </c>
      <c r="BT198" s="543">
        <f t="shared" si="248"/>
        <v>0.11155694463599433</v>
      </c>
      <c r="BU198" s="543">
        <f t="shared" si="249"/>
        <v>3.2682698623826459E-2</v>
      </c>
      <c r="BV198" s="543">
        <f t="shared" si="250"/>
        <v>0</v>
      </c>
      <c r="BW198" s="648">
        <f t="shared" si="287"/>
        <v>9.9288844561024145E-2</v>
      </c>
      <c r="BX198" s="470">
        <f t="shared" si="294"/>
        <v>356.10487651818391</v>
      </c>
      <c r="BY198" s="178">
        <f t="shared" si="295"/>
        <v>1.2183925837641103</v>
      </c>
      <c r="BZ198" s="6">
        <f t="shared" si="296"/>
        <v>12.532955599547506</v>
      </c>
      <c r="CA198" s="178">
        <f t="shared" si="297"/>
        <v>0.9113983176396675</v>
      </c>
      <c r="CB198" s="6">
        <f t="shared" si="298"/>
        <v>91.139831763966754</v>
      </c>
      <c r="CC198">
        <f t="shared" si="299"/>
        <v>88</v>
      </c>
      <c r="CE198" s="577">
        <f t="shared" si="288"/>
        <v>-50</v>
      </c>
      <c r="CF198">
        <f t="shared" si="289"/>
        <v>-50</v>
      </c>
    </row>
    <row r="199" spans="5:84" x14ac:dyDescent="0.2">
      <c r="E199" s="175">
        <v>89</v>
      </c>
      <c r="F199" s="222">
        <f t="shared" si="290"/>
        <v>0.71200000000000008</v>
      </c>
      <c r="G199" s="222">
        <f t="shared" si="257"/>
        <v>0.44500000000000001</v>
      </c>
      <c r="H199" s="222">
        <f t="shared" si="258"/>
        <v>8.5440000000000005</v>
      </c>
      <c r="I199" s="222">
        <f t="shared" si="259"/>
        <v>5.34</v>
      </c>
      <c r="J199" s="556">
        <f t="shared" si="260"/>
        <v>9</v>
      </c>
      <c r="K199" s="452">
        <f t="shared" si="261"/>
        <v>8.9830062534953452</v>
      </c>
      <c r="L199" s="452">
        <f t="shared" si="262"/>
        <v>21.25</v>
      </c>
      <c r="M199" s="452"/>
      <c r="N199" s="222">
        <f t="shared" si="263"/>
        <v>0.57647058823529407</v>
      </c>
      <c r="O199" s="177">
        <f t="shared" si="264"/>
        <v>6.2179004524886858</v>
      </c>
      <c r="P199" s="177">
        <f t="shared" si="265"/>
        <v>6.3150551470588203</v>
      </c>
      <c r="Q199" s="222">
        <f t="shared" si="266"/>
        <v>0.51815837104072382</v>
      </c>
      <c r="R199" s="222">
        <f t="shared" si="267"/>
        <v>0.51815837104072382</v>
      </c>
      <c r="S199" s="222">
        <f t="shared" si="268"/>
        <v>8.7330062534953452</v>
      </c>
      <c r="T199" s="222">
        <f t="shared" si="269"/>
        <v>4.0999999999999996</v>
      </c>
      <c r="U199" s="222">
        <f t="shared" si="270"/>
        <v>3.1888888888888887</v>
      </c>
      <c r="V199" s="222">
        <f t="shared" si="271"/>
        <v>3.1949215207139194</v>
      </c>
      <c r="W199" s="202">
        <f t="shared" si="272"/>
        <v>350</v>
      </c>
      <c r="X199" s="452">
        <f t="shared" si="273"/>
        <v>156.64625605042343</v>
      </c>
      <c r="Z199" s="222">
        <f t="shared" si="274"/>
        <v>1.8349989994478173</v>
      </c>
      <c r="AA199" s="178">
        <f t="shared" si="275"/>
        <v>1.4299214131278883</v>
      </c>
      <c r="AB199" s="178">
        <f t="shared" si="276"/>
        <v>0.28257431594847365</v>
      </c>
      <c r="AC199" s="178"/>
      <c r="AD199" s="178">
        <f t="shared" si="277"/>
        <v>0.63898430414278384</v>
      </c>
      <c r="AE199" s="560">
        <f t="shared" si="278"/>
        <v>2717.7277353992895</v>
      </c>
      <c r="AF199" s="543">
        <f t="shared" si="279"/>
        <v>9.1694247644489496E-2</v>
      </c>
      <c r="AH199" s="178">
        <f t="shared" si="280"/>
        <v>3.3665824735212424</v>
      </c>
      <c r="AI199" s="178">
        <f t="shared" si="281"/>
        <v>4.0999999999999996</v>
      </c>
      <c r="AJ199" s="178">
        <f t="shared" si="282"/>
        <v>3.6296296296296298</v>
      </c>
      <c r="AL199" s="560">
        <f t="shared" si="283"/>
        <v>712.00000000000011</v>
      </c>
      <c r="AM199" s="470">
        <f t="shared" si="284"/>
        <v>156.64625605042343</v>
      </c>
      <c r="AO199" t="str">
        <f t="shared" si="285"/>
        <v/>
      </c>
      <c r="AP199" t="str">
        <f t="shared" si="286"/>
        <v/>
      </c>
      <c r="AR199" s="6">
        <f t="shared" si="300"/>
        <v>6.3838104096028081</v>
      </c>
      <c r="AS199" s="6">
        <f t="shared" si="291"/>
        <v>3.1888888888888887</v>
      </c>
      <c r="AT199" s="6">
        <f t="shared" si="292"/>
        <v>3.1949215207139194</v>
      </c>
      <c r="AU199" s="178">
        <f t="shared" si="293"/>
        <v>0.49952750540523916</v>
      </c>
      <c r="AW199" s="6">
        <f>L*Iout^2/(2*Vripple1_spec*Vout*Npri_sec1^2)*1000000000*((1+N199)/(1-N199))^2</f>
        <v>21.552126200274348</v>
      </c>
      <c r="AX199" s="6">
        <f>L*F199^2/(2*Cout*Vout*Nps^2)*1000000000*((1+N199)/(1-N199))^2+F199*RCoutEsr</f>
        <v>45.722653182733559</v>
      </c>
      <c r="AY199" s="6">
        <f>L*Iout2^2/(2*Vout_ripple2*Vout2*Npri_sec2^2)*1000000000*((1+N199)/(1-N199))^2</f>
        <v>8.4187992969821668</v>
      </c>
      <c r="AZ199" s="6">
        <f>L*G199^2/(2*Cout2*Vout2*Npri_sec2^2)*1000000000*((1+N199)/(1-N199))^2+G199*CoutEsr2</f>
        <v>18.361036399505295</v>
      </c>
      <c r="BA199" s="6">
        <f>(H199+I199)/Efficiency/J199*AT199/Vinripple1</f>
        <v>7.6860802068169036</v>
      </c>
      <c r="BB199" s="6"/>
      <c r="BC199" s="6"/>
      <c r="BD199" s="178">
        <f t="shared" si="235"/>
        <v>1.6730269340193009</v>
      </c>
      <c r="BE199" s="178">
        <f t="shared" si="236"/>
        <v>1.674608674102493</v>
      </c>
      <c r="BF199" s="178">
        <f t="shared" si="237"/>
        <v>1.046630421314058</v>
      </c>
      <c r="BG199" s="178"/>
      <c r="BH199" s="543">
        <f t="shared" si="238"/>
        <v>0.30789210341494244</v>
      </c>
      <c r="BI199" s="543">
        <f t="shared" si="239"/>
        <v>6.8239025291965696E-2</v>
      </c>
      <c r="BJ199" s="543">
        <f t="shared" si="240"/>
        <v>7.832312802521172E-3</v>
      </c>
      <c r="BK199" s="543">
        <f t="shared" si="241"/>
        <v>1.59155043744981E-2</v>
      </c>
      <c r="BL199">
        <f t="shared" si="242"/>
        <v>2.6099999999999999E-3</v>
      </c>
      <c r="BM199" s="470">
        <f t="shared" si="243"/>
        <v>402.48894588392744</v>
      </c>
      <c r="BN199" s="178">
        <f t="shared" si="244"/>
        <v>0.28480000000000005</v>
      </c>
      <c r="BO199" s="178">
        <f t="shared" si="245"/>
        <v>0.17800000000000002</v>
      </c>
      <c r="BP199" s="543"/>
      <c r="BR199" s="470">
        <f t="shared" si="246"/>
        <v>462.80000000000013</v>
      </c>
      <c r="BS199" s="543">
        <f t="shared" si="247"/>
        <v>0.1119607648781609</v>
      </c>
      <c r="BT199" s="543">
        <f t="shared" si="248"/>
        <v>0.1121725684551724</v>
      </c>
      <c r="BU199" s="543">
        <f t="shared" si="249"/>
        <v>3.2863057164601278E-2</v>
      </c>
      <c r="BV199" s="543">
        <f t="shared" si="250"/>
        <v>0</v>
      </c>
      <c r="BW199" s="648">
        <f t="shared" si="287"/>
        <v>9.8745883657785694E-2</v>
      </c>
      <c r="BX199" s="470">
        <f t="shared" si="294"/>
        <v>355.74227415572022</v>
      </c>
      <c r="BY199" s="178">
        <f t="shared" si="295"/>
        <v>1.2210312200396478</v>
      </c>
      <c r="BZ199" s="6">
        <f t="shared" si="296"/>
        <v>12.532955599547506</v>
      </c>
      <c r="CA199" s="178">
        <f t="shared" si="297"/>
        <v>0.91122347025222028</v>
      </c>
      <c r="CB199" s="6">
        <f t="shared" si="298"/>
        <v>91.122347025222027</v>
      </c>
      <c r="CC199">
        <f t="shared" si="299"/>
        <v>89</v>
      </c>
      <c r="CE199" s="577">
        <f t="shared" si="288"/>
        <v>-50</v>
      </c>
      <c r="CF199">
        <f t="shared" si="289"/>
        <v>-50</v>
      </c>
    </row>
    <row r="200" spans="5:84" x14ac:dyDescent="0.2">
      <c r="E200" s="175">
        <v>90</v>
      </c>
      <c r="F200" s="222">
        <f t="shared" si="290"/>
        <v>0.72000000000000008</v>
      </c>
      <c r="G200" s="222">
        <f t="shared" si="257"/>
        <v>0.45</v>
      </c>
      <c r="H200" s="222">
        <f t="shared" si="258"/>
        <v>8.64</v>
      </c>
      <c r="I200" s="222">
        <f t="shared" si="259"/>
        <v>5.4</v>
      </c>
      <c r="J200" s="556">
        <f t="shared" si="260"/>
        <v>9</v>
      </c>
      <c r="K200" s="452">
        <f t="shared" si="261"/>
        <v>8.8859728506787299</v>
      </c>
      <c r="L200" s="452">
        <f t="shared" si="262"/>
        <v>21.25</v>
      </c>
      <c r="M200" s="452"/>
      <c r="N200" s="222">
        <f t="shared" si="263"/>
        <v>0.57647058823529407</v>
      </c>
      <c r="O200" s="177">
        <f t="shared" si="264"/>
        <v>6.2179004524886858</v>
      </c>
      <c r="P200" s="177">
        <f t="shared" si="265"/>
        <v>6.3150551470588203</v>
      </c>
      <c r="Q200" s="222">
        <f t="shared" si="266"/>
        <v>0.51815837104072382</v>
      </c>
      <c r="R200" s="222">
        <f t="shared" si="267"/>
        <v>0.51815837104072382</v>
      </c>
      <c r="S200" s="222">
        <f t="shared" si="268"/>
        <v>8.6359728506787299</v>
      </c>
      <c r="T200" s="222">
        <f t="shared" si="269"/>
        <v>4.0999999999999996</v>
      </c>
      <c r="U200" s="222">
        <f t="shared" si="270"/>
        <v>3.1888888888888887</v>
      </c>
      <c r="V200" s="222">
        <f t="shared" si="271"/>
        <v>3.2298095529076289</v>
      </c>
      <c r="W200" s="202">
        <f t="shared" si="272"/>
        <v>350</v>
      </c>
      <c r="X200" s="452">
        <f t="shared" si="273"/>
        <v>155.79482492717199</v>
      </c>
      <c r="Z200" s="222">
        <f t="shared" si="274"/>
        <v>1.8250250920040143</v>
      </c>
      <c r="AA200" s="178">
        <f t="shared" si="275"/>
        <v>1.4376788966952903</v>
      </c>
      <c r="AB200" s="178">
        <f t="shared" si="276"/>
        <v>0.28256308346145942</v>
      </c>
      <c r="AC200" s="178"/>
      <c r="AD200" s="178">
        <f t="shared" si="277"/>
        <v>0.64596191058152574</v>
      </c>
      <c r="AE200" s="560">
        <f t="shared" si="278"/>
        <v>2718.5775696816045</v>
      </c>
      <c r="AF200" s="543">
        <f t="shared" si="279"/>
        <v>9.2695534168448945E-2</v>
      </c>
      <c r="AH200" s="178">
        <f t="shared" si="280"/>
        <v>3.385443027108257</v>
      </c>
      <c r="AI200" s="178">
        <f t="shared" si="281"/>
        <v>4.0999999999999996</v>
      </c>
      <c r="AJ200" s="178">
        <f t="shared" si="282"/>
        <v>3.6296296296296298</v>
      </c>
      <c r="AL200" s="560">
        <f t="shared" si="283"/>
        <v>720.00000000000011</v>
      </c>
      <c r="AM200" s="470">
        <f t="shared" si="284"/>
        <v>155.79482492717199</v>
      </c>
      <c r="AO200" t="str">
        <f t="shared" si="285"/>
        <v/>
      </c>
      <c r="AP200" t="str">
        <f t="shared" si="286"/>
        <v/>
      </c>
      <c r="AR200" s="6">
        <f t="shared" si="300"/>
        <v>6.4186984417965176</v>
      </c>
      <c r="AS200" s="6">
        <f t="shared" si="291"/>
        <v>3.1888888888888887</v>
      </c>
      <c r="AT200" s="6">
        <f t="shared" si="292"/>
        <v>3.2298095529076289</v>
      </c>
      <c r="AU200" s="178">
        <f t="shared" si="293"/>
        <v>0.49681238615664836</v>
      </c>
      <c r="AW200" s="6">
        <f>L*Iout^2/(2*Vripple1_spec*Vout*Npri_sec1^2)*1000000000*((1+N200)/(1-N200))^2</f>
        <v>21.552126200274348</v>
      </c>
      <c r="AX200" s="6">
        <f>L*F200^2/(2*Cout*Vout*Nps^2)*1000000000*((1+N200)/(1-N200))^2+F200*RCoutEsr</f>
        <v>46.731631205673764</v>
      </c>
      <c r="AY200" s="6">
        <f>L*Iout2^2/(2*Vout_ripple2*Vout2*Npri_sec2^2)*1000000000*((1+N200)/(1-N200))^2</f>
        <v>8.4187992969821668</v>
      </c>
      <c r="AZ200" s="6">
        <f>L*G200^2/(2*Cout2*Vout2*Npri_sec2^2)*1000000000*((1+N200)/(1-N200))^2+G200*CoutEsr2</f>
        <v>18.760793439716309</v>
      </c>
      <c r="BA200" s="6">
        <f>(H200+I200)/Efficiency/J200*AT200/Vinripple1</f>
        <v>7.8573144678922437</v>
      </c>
      <c r="BB200" s="6"/>
      <c r="BC200" s="6"/>
      <c r="BD200" s="178">
        <f t="shared" si="235"/>
        <v>1.6684739745541191</v>
      </c>
      <c r="BE200" s="178">
        <f t="shared" si="236"/>
        <v>1.67914499956642</v>
      </c>
      <c r="BF200" s="178">
        <f t="shared" si="237"/>
        <v>1.0494656247290124</v>
      </c>
      <c r="BG200" s="178"/>
      <c r="BH200" s="543">
        <f t="shared" si="238"/>
        <v>0.30621859441408611</v>
      </c>
      <c r="BI200" s="543">
        <f t="shared" si="239"/>
        <v>6.7868120608899282E-2</v>
      </c>
      <c r="BJ200" s="543">
        <f t="shared" si="240"/>
        <v>7.7897412463585987E-3</v>
      </c>
      <c r="BK200" s="543">
        <f t="shared" si="241"/>
        <v>1.5828997642014623E-2</v>
      </c>
      <c r="BL200">
        <f t="shared" si="242"/>
        <v>2.6099999999999999E-3</v>
      </c>
      <c r="BM200" s="470">
        <f t="shared" si="243"/>
        <v>400.31545391135865</v>
      </c>
      <c r="BN200" s="178">
        <f t="shared" si="244"/>
        <v>0.28800000000000003</v>
      </c>
      <c r="BO200" s="178">
        <f t="shared" si="245"/>
        <v>0.18000000000000002</v>
      </c>
      <c r="BP200" s="543"/>
      <c r="BR200" s="470">
        <f t="shared" si="246"/>
        <v>468.00000000000006</v>
      </c>
      <c r="BS200" s="543">
        <f t="shared" si="247"/>
        <v>0.11135221615057678</v>
      </c>
      <c r="BT200" s="543">
        <f t="shared" si="248"/>
        <v>0.11278111718275652</v>
      </c>
      <c r="BU200" s="543">
        <f t="shared" si="249"/>
        <v>3.3041342924635682E-2</v>
      </c>
      <c r="BV200" s="543">
        <f t="shared" si="250"/>
        <v>0</v>
      </c>
      <c r="BW200" s="648">
        <f t="shared" si="287"/>
        <v>9.8209162763466057E-2</v>
      </c>
      <c r="BX200" s="470">
        <f t="shared" si="294"/>
        <v>355.38383902143499</v>
      </c>
      <c r="BY200" s="178">
        <f t="shared" si="295"/>
        <v>1.2236992929327939</v>
      </c>
      <c r="BZ200" s="6">
        <f t="shared" si="296"/>
        <v>12.532955599547506</v>
      </c>
      <c r="CA200" s="178">
        <f t="shared" si="297"/>
        <v>0.91104674046873879</v>
      </c>
      <c r="CB200" s="6">
        <f t="shared" si="298"/>
        <v>91.104674046873882</v>
      </c>
      <c r="CC200">
        <f t="shared" si="299"/>
        <v>90</v>
      </c>
      <c r="CE200" s="577">
        <f t="shared" si="288"/>
        <v>-50</v>
      </c>
      <c r="CF200">
        <f t="shared" si="289"/>
        <v>-50</v>
      </c>
    </row>
    <row r="201" spans="5:84" x14ac:dyDescent="0.2">
      <c r="E201" s="175">
        <v>91</v>
      </c>
      <c r="F201" s="222">
        <f t="shared" si="290"/>
        <v>0.72800000000000009</v>
      </c>
      <c r="G201" s="222">
        <f t="shared" si="257"/>
        <v>0.45500000000000002</v>
      </c>
      <c r="H201" s="222">
        <f t="shared" si="258"/>
        <v>8.7360000000000007</v>
      </c>
      <c r="I201" s="222">
        <f t="shared" si="259"/>
        <v>5.46</v>
      </c>
      <c r="J201" s="556">
        <f t="shared" si="260"/>
        <v>9</v>
      </c>
      <c r="K201" s="452">
        <f t="shared" si="261"/>
        <v>8.7910720501218194</v>
      </c>
      <c r="L201" s="452">
        <f t="shared" si="262"/>
        <v>21.25</v>
      </c>
      <c r="M201" s="452"/>
      <c r="N201" s="222">
        <f t="shared" si="263"/>
        <v>0.57647058823529407</v>
      </c>
      <c r="O201" s="177">
        <f t="shared" si="264"/>
        <v>6.2179004524886858</v>
      </c>
      <c r="P201" s="177">
        <f t="shared" si="265"/>
        <v>6.3150551470588203</v>
      </c>
      <c r="Q201" s="222">
        <f t="shared" si="266"/>
        <v>0.51815837104072382</v>
      </c>
      <c r="R201" s="222">
        <f t="shared" si="267"/>
        <v>0.51815837104072382</v>
      </c>
      <c r="S201" s="222">
        <f t="shared" si="268"/>
        <v>8.5410720501218194</v>
      </c>
      <c r="T201" s="222">
        <f t="shared" si="269"/>
        <v>4.0999999999999996</v>
      </c>
      <c r="U201" s="222">
        <f t="shared" si="270"/>
        <v>3.1888888888888887</v>
      </c>
      <c r="V201" s="222">
        <f t="shared" si="271"/>
        <v>3.2646757797420505</v>
      </c>
      <c r="W201" s="202">
        <f t="shared" si="272"/>
        <v>350</v>
      </c>
      <c r="X201" s="452">
        <f t="shared" si="273"/>
        <v>154.95312301753694</v>
      </c>
      <c r="Z201" s="222">
        <f t="shared" si="274"/>
        <v>1.8151651553482895</v>
      </c>
      <c r="AA201" s="178">
        <f t="shared" si="275"/>
        <v>1.4453477363164091</v>
      </c>
      <c r="AB201" s="178">
        <f t="shared" si="276"/>
        <v>0.28253559905017711</v>
      </c>
      <c r="AC201" s="178"/>
      <c r="AD201" s="178">
        <f t="shared" si="277"/>
        <v>0.65293515594841001</v>
      </c>
      <c r="AE201" s="560">
        <f t="shared" si="278"/>
        <v>2719.427403963919</v>
      </c>
      <c r="AF201" s="543">
        <f t="shared" si="279"/>
        <v>9.3696194878596845E-2</v>
      </c>
      <c r="AH201" s="178">
        <f t="shared" si="280"/>
        <v>3.4041990876814814</v>
      </c>
      <c r="AI201" s="178">
        <f t="shared" si="281"/>
        <v>4.0999999999999996</v>
      </c>
      <c r="AJ201" s="178">
        <f t="shared" si="282"/>
        <v>3.6296296296296298</v>
      </c>
      <c r="AL201" s="560">
        <f t="shared" si="283"/>
        <v>728.00000000000011</v>
      </c>
      <c r="AM201" s="470">
        <f t="shared" si="284"/>
        <v>154.95312301753694</v>
      </c>
      <c r="AO201" t="str">
        <f t="shared" si="285"/>
        <v/>
      </c>
      <c r="AP201" t="str">
        <f t="shared" si="286"/>
        <v/>
      </c>
      <c r="AR201" s="6">
        <f t="shared" si="300"/>
        <v>6.45356466863094</v>
      </c>
      <c r="AS201" s="6">
        <f t="shared" si="291"/>
        <v>3.1888888888888887</v>
      </c>
      <c r="AT201" s="6">
        <f t="shared" si="292"/>
        <v>3.2646757797420514</v>
      </c>
      <c r="AU201" s="178">
        <f t="shared" si="293"/>
        <v>0.49412829228925664</v>
      </c>
      <c r="AW201" s="6">
        <f>L*Iout^2/(2*Vripple1_spec*Vout*Npri_sec1^2)*1000000000*((1+N201)/(1-N201))^2</f>
        <v>21.552126200274348</v>
      </c>
      <c r="AX201" s="6">
        <f>L*F201^2/(2*Cout*Vout*Nps^2)*1000000000*((1+N201)/(1-N201))^2+F201*RCoutEsr</f>
        <v>47.751614569652396</v>
      </c>
      <c r="AY201" s="6">
        <f>L*Iout2^2/(2*Vout_ripple2*Vout2*Npri_sec2^2)*1000000000*((1+N201)/(1-N201))^2</f>
        <v>8.4187992969821668</v>
      </c>
      <c r="AZ201" s="6">
        <f>L*G201^2/(2*Cout2*Vout2*Npri_sec2^2)*1000000000*((1+N201)/(1-N201))^2+G201*CoutEsr2</f>
        <v>19.164849441270466</v>
      </c>
      <c r="BA201" s="6">
        <f>(H201+I201)/Efficiency/J201*AT201/Vinripple1</f>
        <v>8.0303811772524423</v>
      </c>
      <c r="BB201" s="6"/>
      <c r="BC201" s="6"/>
      <c r="BD201" s="178">
        <f t="shared" si="235"/>
        <v>1.6639607961509995</v>
      </c>
      <c r="BE201" s="178">
        <f t="shared" si="236"/>
        <v>1.6836174750239035</v>
      </c>
      <c r="BF201" s="178">
        <f t="shared" si="237"/>
        <v>1.0522609218899395</v>
      </c>
      <c r="BG201" s="178"/>
      <c r="BH201" s="543">
        <f t="shared" si="238"/>
        <v>0.30456420842402149</v>
      </c>
      <c r="BI201" s="543">
        <f t="shared" si="239"/>
        <v>6.750145421451452E-2</v>
      </c>
      <c r="BJ201" s="543">
        <f t="shared" si="240"/>
        <v>7.7476561508768461E-3</v>
      </c>
      <c r="BK201" s="543">
        <f t="shared" si="241"/>
        <v>1.5743479412836468E-2</v>
      </c>
      <c r="BL201">
        <f t="shared" si="242"/>
        <v>2.6099999999999999E-3</v>
      </c>
      <c r="BM201" s="470">
        <f t="shared" si="243"/>
        <v>398.16679820224937</v>
      </c>
      <c r="BN201" s="178">
        <f t="shared" si="244"/>
        <v>0.29120000000000007</v>
      </c>
      <c r="BO201" s="178">
        <f t="shared" si="245"/>
        <v>0.18200000000000002</v>
      </c>
      <c r="BP201" s="543"/>
      <c r="BR201" s="470">
        <f t="shared" si="246"/>
        <v>473.20000000000005</v>
      </c>
      <c r="BS201" s="543">
        <f t="shared" si="247"/>
        <v>0.11075062124509871</v>
      </c>
      <c r="BT201" s="543">
        <f t="shared" si="248"/>
        <v>0.11338271208823457</v>
      </c>
      <c r="BU201" s="543">
        <f t="shared" si="249"/>
        <v>3.3217591432099958E-2</v>
      </c>
      <c r="BV201" s="543">
        <f t="shared" si="250"/>
        <v>0</v>
      </c>
      <c r="BW201" s="648">
        <f t="shared" si="287"/>
        <v>9.7678574922179864E-2</v>
      </c>
      <c r="BX201" s="470">
        <f t="shared" si="294"/>
        <v>355.02949968761311</v>
      </c>
      <c r="BY201" s="178">
        <f t="shared" si="295"/>
        <v>1.2263962978898626</v>
      </c>
      <c r="BZ201" s="6">
        <f t="shared" si="296"/>
        <v>12.532955599547506</v>
      </c>
      <c r="CA201" s="178">
        <f t="shared" si="297"/>
        <v>0.91086816391996817</v>
      </c>
      <c r="CB201" s="6">
        <f t="shared" si="298"/>
        <v>91.08681639199682</v>
      </c>
      <c r="CC201">
        <f t="shared" si="299"/>
        <v>91</v>
      </c>
      <c r="CE201" s="577">
        <f t="shared" si="288"/>
        <v>-50</v>
      </c>
      <c r="CF201">
        <f t="shared" si="289"/>
        <v>-50</v>
      </c>
    </row>
    <row r="202" spans="5:84" x14ac:dyDescent="0.2">
      <c r="E202" s="175">
        <v>92</v>
      </c>
      <c r="F202" s="222">
        <f t="shared" si="290"/>
        <v>0.7360000000000001</v>
      </c>
      <c r="G202" s="222">
        <f t="shared" si="257"/>
        <v>0.46</v>
      </c>
      <c r="H202" s="222">
        <f t="shared" si="258"/>
        <v>8.8320000000000007</v>
      </c>
      <c r="I202" s="222">
        <f t="shared" si="259"/>
        <v>5.5200000000000005</v>
      </c>
      <c r="J202" s="556">
        <f t="shared" si="260"/>
        <v>9</v>
      </c>
      <c r="K202" s="452">
        <f t="shared" si="261"/>
        <v>8.6982343104465834</v>
      </c>
      <c r="L202" s="452">
        <f t="shared" si="262"/>
        <v>21.25</v>
      </c>
      <c r="M202" s="452"/>
      <c r="N202" s="222">
        <f t="shared" si="263"/>
        <v>0.57647058823529407</v>
      </c>
      <c r="O202" s="177">
        <f t="shared" si="264"/>
        <v>6.2179004524886858</v>
      </c>
      <c r="P202" s="177">
        <f t="shared" si="265"/>
        <v>6.3150551470588203</v>
      </c>
      <c r="Q202" s="222">
        <f t="shared" si="266"/>
        <v>0.51815837104072382</v>
      </c>
      <c r="R202" s="222">
        <f t="shared" si="267"/>
        <v>0.51815837104072382</v>
      </c>
      <c r="S202" s="222">
        <f t="shared" si="268"/>
        <v>8.4482343104465834</v>
      </c>
      <c r="T202" s="222">
        <f t="shared" si="269"/>
        <v>4.0999999999999996</v>
      </c>
      <c r="U202" s="222">
        <f t="shared" si="270"/>
        <v>3.1888888888888887</v>
      </c>
      <c r="V202" s="222">
        <f t="shared" si="271"/>
        <v>3.2995202216536388</v>
      </c>
      <c r="W202" s="202">
        <f t="shared" si="272"/>
        <v>350</v>
      </c>
      <c r="X202" s="452">
        <f t="shared" si="273"/>
        <v>154.1209845068455</v>
      </c>
      <c r="Z202" s="222">
        <f t="shared" si="274"/>
        <v>1.8054172470801897</v>
      </c>
      <c r="AA202" s="178">
        <f t="shared" si="275"/>
        <v>1.4529294427471537</v>
      </c>
      <c r="AB202" s="178">
        <f t="shared" si="276"/>
        <v>0.28249241727821917</v>
      </c>
      <c r="AC202" s="178"/>
      <c r="AD202" s="178">
        <f t="shared" si="277"/>
        <v>0.65990404433072769</v>
      </c>
      <c r="AE202" s="560">
        <f t="shared" si="278"/>
        <v>2720.277238246234</v>
      </c>
      <c r="AF202" s="543">
        <f t="shared" si="279"/>
        <v>9.4696230361459424E-2</v>
      </c>
      <c r="AH202" s="178">
        <f t="shared" si="280"/>
        <v>3.4228523729993001</v>
      </c>
      <c r="AI202" s="178">
        <f t="shared" si="281"/>
        <v>4.0999999999999996</v>
      </c>
      <c r="AJ202" s="178">
        <f t="shared" si="282"/>
        <v>3.6296296296296298</v>
      </c>
      <c r="AL202" s="560">
        <f t="shared" si="283"/>
        <v>736.00000000000011</v>
      </c>
      <c r="AM202" s="470">
        <f t="shared" si="284"/>
        <v>154.1209845068455</v>
      </c>
      <c r="AO202" t="str">
        <f t="shared" si="285"/>
        <v/>
      </c>
      <c r="AP202" t="str">
        <f t="shared" si="286"/>
        <v/>
      </c>
      <c r="AR202" s="6">
        <f t="shared" si="300"/>
        <v>6.488409110542527</v>
      </c>
      <c r="AS202" s="6">
        <f t="shared" si="291"/>
        <v>3.1888888888888887</v>
      </c>
      <c r="AT202" s="6">
        <f t="shared" si="292"/>
        <v>3.2995202216536383</v>
      </c>
      <c r="AU202" s="178">
        <f t="shared" si="293"/>
        <v>0.49147469503849617</v>
      </c>
      <c r="AW202" s="6">
        <f>L*Iout^2/(2*Vripple1_spec*Vout*Npri_sec1^2)*1000000000*((1+N202)/(1-N202))^2</f>
        <v>21.552126200274348</v>
      </c>
      <c r="AX202" s="6">
        <f>L*F202^2/(2*Cout*Vout*Nps^2)*1000000000*((1+N202)/(1-N202))^2+F202*RCoutEsr</f>
        <v>48.782603274669469</v>
      </c>
      <c r="AY202" s="6">
        <f>L*Iout2^2/(2*Vout_ripple2*Vout2*Npri_sec2^2)*1000000000*((1+N202)/(1-N202))^2</f>
        <v>8.4187992969821668</v>
      </c>
      <c r="AZ202" s="6">
        <f>L*G202^2/(2*Cout2*Vout2*Npri_sec2^2)*1000000000*((1+N202)/(1-N202))^2+G202*CoutEsr2</f>
        <v>19.573204404167758</v>
      </c>
      <c r="BA202" s="6">
        <f>(H202+I202)/Efficiency/J202*AT202/Vinripple1</f>
        <v>8.2052786174872026</v>
      </c>
      <c r="BB202" s="6"/>
      <c r="BC202" s="6"/>
      <c r="BD202" s="178">
        <f t="shared" si="235"/>
        <v>1.6594868306796049</v>
      </c>
      <c r="BE202" s="178">
        <f t="shared" si="236"/>
        <v>1.688027485597996</v>
      </c>
      <c r="BF202" s="178">
        <f t="shared" si="237"/>
        <v>1.0550171784987472</v>
      </c>
      <c r="BG202" s="178"/>
      <c r="BH202" s="543">
        <f t="shared" si="238"/>
        <v>0.30292861953189437</v>
      </c>
      <c r="BI202" s="543">
        <f t="shared" si="239"/>
        <v>6.7138953875794563E-2</v>
      </c>
      <c r="BJ202" s="543">
        <f t="shared" si="240"/>
        <v>7.7060492253422748E-3</v>
      </c>
      <c r="BK202" s="543">
        <f t="shared" si="241"/>
        <v>1.5658932839933797E-2</v>
      </c>
      <c r="BL202">
        <f t="shared" si="242"/>
        <v>2.6099999999999999E-3</v>
      </c>
      <c r="BM202" s="470">
        <f t="shared" si="243"/>
        <v>396.04255547296503</v>
      </c>
      <c r="BN202" s="178">
        <f t="shared" si="244"/>
        <v>0.29440000000000005</v>
      </c>
      <c r="BO202" s="178">
        <f t="shared" si="245"/>
        <v>0.18400000000000002</v>
      </c>
      <c r="BP202" s="543"/>
      <c r="BR202" s="470">
        <f t="shared" si="246"/>
        <v>478.40000000000003</v>
      </c>
      <c r="BS202" s="543">
        <f t="shared" si="247"/>
        <v>0.11015586164796158</v>
      </c>
      <c r="BT202" s="543">
        <f t="shared" si="248"/>
        <v>0.11397747168537171</v>
      </c>
      <c r="BU202" s="543">
        <f t="shared" si="249"/>
        <v>3.339183740782372E-2</v>
      </c>
      <c r="BV202" s="543">
        <f t="shared" si="250"/>
        <v>0</v>
      </c>
      <c r="BW202" s="648">
        <f t="shared" si="287"/>
        <v>9.7154015608502745E-2</v>
      </c>
      <c r="BX202" s="470">
        <f t="shared" si="294"/>
        <v>354.67918634965974</v>
      </c>
      <c r="BY202" s="178">
        <f t="shared" si="295"/>
        <v>1.2291217418226248</v>
      </c>
      <c r="BZ202" s="6">
        <f t="shared" si="296"/>
        <v>12.532955599547506</v>
      </c>
      <c r="CA202" s="178">
        <f t="shared" si="297"/>
        <v>0.91068777544740531</v>
      </c>
      <c r="CB202" s="6">
        <f t="shared" si="298"/>
        <v>91.068777544740527</v>
      </c>
      <c r="CC202">
        <f t="shared" si="299"/>
        <v>92</v>
      </c>
      <c r="CE202" s="577">
        <f t="shared" si="288"/>
        <v>-50</v>
      </c>
      <c r="CF202">
        <f t="shared" si="289"/>
        <v>-50</v>
      </c>
    </row>
    <row r="203" spans="5:84" x14ac:dyDescent="0.2">
      <c r="E203" s="175">
        <v>93</v>
      </c>
      <c r="F203" s="222">
        <f t="shared" si="290"/>
        <v>0.74400000000000011</v>
      </c>
      <c r="G203" s="222">
        <f t="shared" si="257"/>
        <v>0.46500000000000002</v>
      </c>
      <c r="H203" s="222">
        <f t="shared" si="258"/>
        <v>8.9280000000000008</v>
      </c>
      <c r="I203" s="222">
        <f t="shared" si="259"/>
        <v>5.58</v>
      </c>
      <c r="J203" s="556">
        <f t="shared" si="260"/>
        <v>9</v>
      </c>
      <c r="K203" s="452">
        <f t="shared" si="261"/>
        <v>8.6073930813019963</v>
      </c>
      <c r="L203" s="452">
        <f t="shared" si="262"/>
        <v>21.25</v>
      </c>
      <c r="M203" s="452"/>
      <c r="N203" s="222">
        <f t="shared" si="263"/>
        <v>0.57647058823529407</v>
      </c>
      <c r="O203" s="177">
        <f t="shared" si="264"/>
        <v>6.2179004524886858</v>
      </c>
      <c r="P203" s="177">
        <f t="shared" si="265"/>
        <v>6.3150551470588203</v>
      </c>
      <c r="Q203" s="222">
        <f t="shared" si="266"/>
        <v>0.51815837104072382</v>
      </c>
      <c r="R203" s="222">
        <f t="shared" si="267"/>
        <v>0.51815837104072382</v>
      </c>
      <c r="S203" s="222">
        <f t="shared" si="268"/>
        <v>8.3573930813019963</v>
      </c>
      <c r="T203" s="222">
        <f t="shared" si="269"/>
        <v>4.0999999999999996</v>
      </c>
      <c r="U203" s="222">
        <f t="shared" si="270"/>
        <v>3.1888888888888887</v>
      </c>
      <c r="V203" s="222">
        <f t="shared" si="271"/>
        <v>3.334342899053321</v>
      </c>
      <c r="W203" s="202">
        <f t="shared" si="272"/>
        <v>350</v>
      </c>
      <c r="X203" s="452">
        <f t="shared" si="273"/>
        <v>153.29824732710526</v>
      </c>
      <c r="Z203" s="222">
        <f t="shared" si="274"/>
        <v>1.7957794686889472</v>
      </c>
      <c r="AA203" s="178">
        <f t="shared" si="275"/>
        <v>1.4604254926070093</v>
      </c>
      <c r="AB203" s="178">
        <f t="shared" si="276"/>
        <v>0.28243407394177328</v>
      </c>
      <c r="AC203" s="178"/>
      <c r="AD203" s="178">
        <f t="shared" si="277"/>
        <v>0.66686857981066416</v>
      </c>
      <c r="AE203" s="560">
        <f t="shared" si="278"/>
        <v>2721.127072528549</v>
      </c>
      <c r="AF203" s="543">
        <f t="shared" si="279"/>
        <v>9.569564120283032E-2</v>
      </c>
      <c r="AH203" s="178">
        <f t="shared" si="280"/>
        <v>3.4414045542659539</v>
      </c>
      <c r="AI203" s="178">
        <f t="shared" si="281"/>
        <v>4.0999999999999996</v>
      </c>
      <c r="AJ203" s="178">
        <f t="shared" si="282"/>
        <v>3.6296296296296298</v>
      </c>
      <c r="AL203" s="560">
        <f t="shared" si="283"/>
        <v>744.00000000000011</v>
      </c>
      <c r="AM203" s="470">
        <f t="shared" si="284"/>
        <v>153.29824732710526</v>
      </c>
      <c r="AO203" t="str">
        <f t="shared" si="285"/>
        <v/>
      </c>
      <c r="AP203" t="str">
        <f t="shared" si="286"/>
        <v/>
      </c>
      <c r="AR203" s="6">
        <f t="shared" si="300"/>
        <v>6.523231787942211</v>
      </c>
      <c r="AS203" s="6">
        <f t="shared" si="291"/>
        <v>3.1888888888888887</v>
      </c>
      <c r="AT203" s="6">
        <f t="shared" si="292"/>
        <v>3.3343428990533224</v>
      </c>
      <c r="AU203" s="178">
        <f t="shared" si="293"/>
        <v>0.4888510775875467</v>
      </c>
      <c r="AW203" s="6">
        <f>L*Iout^2/(2*Vripple1_spec*Vout*Npri_sec1^2)*1000000000*((1+N203)/(1-N203))^2</f>
        <v>21.552126200274348</v>
      </c>
      <c r="AX203" s="6">
        <f>L*F203^2/(2*Cout*Vout*Nps^2)*1000000000*((1+N203)/(1-N203))^2+F203*RCoutEsr</f>
        <v>49.824597320724983</v>
      </c>
      <c r="AY203" s="6">
        <f>L*Iout2^2/(2*Vout_ripple2*Vout2*Npri_sec2^2)*1000000000*((1+N203)/(1-N203))^2</f>
        <v>8.4187992969821668</v>
      </c>
      <c r="AZ203" s="6">
        <f>L*G203^2/(2*Cout2*Vout2*Npri_sec2^2)*1000000000*((1+N203)/(1-N203))^2+G203*CoutEsr2</f>
        <v>19.985858328408195</v>
      </c>
      <c r="BA203" s="6">
        <f>(H203+I203)/Efficiency/J203*AT203/Vinripple1</f>
        <v>8.3820050733317046</v>
      </c>
      <c r="BB203" s="6"/>
      <c r="BC203" s="6"/>
      <c r="BD203" s="178">
        <f t="shared" si="235"/>
        <v>1.6550515212772743</v>
      </c>
      <c r="BE203" s="178">
        <f t="shared" si="236"/>
        <v>1.692376375175189</v>
      </c>
      <c r="BF203" s="178">
        <f t="shared" si="237"/>
        <v>1.057735234484493</v>
      </c>
      <c r="BG203" s="178"/>
      <c r="BH203" s="543">
        <f t="shared" si="238"/>
        <v>0.30131150918904415</v>
      </c>
      <c r="BI203" s="543">
        <f t="shared" si="239"/>
        <v>6.678054899187022E-2</v>
      </c>
      <c r="BJ203" s="543">
        <f t="shared" si="240"/>
        <v>7.6649123663552633E-3</v>
      </c>
      <c r="BK203" s="543">
        <f t="shared" si="241"/>
        <v>1.5575341456945342E-2</v>
      </c>
      <c r="BL203">
        <f t="shared" si="242"/>
        <v>2.6099999999999999E-3</v>
      </c>
      <c r="BM203" s="470">
        <f t="shared" si="243"/>
        <v>393.94231200421495</v>
      </c>
      <c r="BN203" s="178">
        <f t="shared" si="244"/>
        <v>0.29760000000000003</v>
      </c>
      <c r="BO203" s="178">
        <f t="shared" si="245"/>
        <v>0.18600000000000003</v>
      </c>
      <c r="BP203" s="543"/>
      <c r="BR203" s="470">
        <f t="shared" si="246"/>
        <v>483.6</v>
      </c>
      <c r="BS203" s="543">
        <f t="shared" si="247"/>
        <v>0.1095678215232888</v>
      </c>
      <c r="BT203" s="543">
        <f t="shared" si="248"/>
        <v>0.11456551181004448</v>
      </c>
      <c r="BU203" s="543">
        <f t="shared" si="249"/>
        <v>3.3564114788098967E-2</v>
      </c>
      <c r="BV203" s="543">
        <f t="shared" si="250"/>
        <v>0</v>
      </c>
      <c r="BW203" s="648">
        <f t="shared" si="287"/>
        <v>9.6635382658823987E-2</v>
      </c>
      <c r="BX203" s="470">
        <f t="shared" si="294"/>
        <v>354.33283078025624</v>
      </c>
      <c r="BY203" s="178">
        <f t="shared" si="295"/>
        <v>1.2318751427844714</v>
      </c>
      <c r="BZ203" s="6">
        <f t="shared" si="296"/>
        <v>12.532955599547506</v>
      </c>
      <c r="CA203" s="178">
        <f t="shared" si="297"/>
        <v>0.9105056091248549</v>
      </c>
      <c r="CB203" s="6">
        <f t="shared" si="298"/>
        <v>91.050560912485494</v>
      </c>
      <c r="CC203">
        <f t="shared" si="299"/>
        <v>93</v>
      </c>
      <c r="CE203" s="577">
        <f t="shared" si="288"/>
        <v>-50</v>
      </c>
      <c r="CF203">
        <f t="shared" si="289"/>
        <v>-50</v>
      </c>
    </row>
    <row r="204" spans="5:84" x14ac:dyDescent="0.2">
      <c r="E204" s="175">
        <v>94</v>
      </c>
      <c r="F204" s="222">
        <f t="shared" si="290"/>
        <v>0.752</v>
      </c>
      <c r="G204" s="222">
        <f t="shared" si="257"/>
        <v>0.47</v>
      </c>
      <c r="H204" s="222">
        <f t="shared" si="258"/>
        <v>9.0240000000000009</v>
      </c>
      <c r="I204" s="222">
        <f t="shared" si="259"/>
        <v>5.64</v>
      </c>
      <c r="J204" s="556">
        <f t="shared" si="260"/>
        <v>9</v>
      </c>
      <c r="K204" s="452">
        <f t="shared" si="261"/>
        <v>8.51848464426687</v>
      </c>
      <c r="L204" s="452">
        <f t="shared" si="262"/>
        <v>21.25</v>
      </c>
      <c r="M204" s="452"/>
      <c r="N204" s="222">
        <f t="shared" si="263"/>
        <v>0.57647058823529407</v>
      </c>
      <c r="O204" s="177">
        <f t="shared" si="264"/>
        <v>6.2179004524886858</v>
      </c>
      <c r="P204" s="177">
        <f t="shared" si="265"/>
        <v>6.3150551470588203</v>
      </c>
      <c r="Q204" s="222">
        <f t="shared" si="266"/>
        <v>0.51815837104072382</v>
      </c>
      <c r="R204" s="222">
        <f t="shared" si="267"/>
        <v>0.51815837104072382</v>
      </c>
      <c r="S204" s="222">
        <f t="shared" si="268"/>
        <v>8.26848464426687</v>
      </c>
      <c r="T204" s="222">
        <f t="shared" si="269"/>
        <v>4.0999999999999996</v>
      </c>
      <c r="U204" s="222">
        <f t="shared" si="270"/>
        <v>3.1888888888888887</v>
      </c>
      <c r="V204" s="222">
        <f t="shared" si="271"/>
        <v>3.3691438323265319</v>
      </c>
      <c r="W204" s="202">
        <f t="shared" si="272"/>
        <v>350</v>
      </c>
      <c r="X204" s="452">
        <f t="shared" si="273"/>
        <v>152.48475305177601</v>
      </c>
      <c r="Z204" s="222">
        <f t="shared" si="274"/>
        <v>1.7862499643208043</v>
      </c>
      <c r="AA204" s="178">
        <f t="shared" si="275"/>
        <v>1.4678373293377867</v>
      </c>
      <c r="AB204" s="178">
        <f t="shared" si="276"/>
        <v>0.28236108677090099</v>
      </c>
      <c r="AC204" s="178"/>
      <c r="AD204" s="178">
        <f t="shared" si="277"/>
        <v>0.67382876646530643</v>
      </c>
      <c r="AE204" s="560">
        <f t="shared" si="278"/>
        <v>2721.976906810864</v>
      </c>
      <c r="AF204" s="543">
        <f t="shared" si="279"/>
        <v>9.6694427987771461E-2</v>
      </c>
      <c r="AH204" s="178">
        <f t="shared" si="280"/>
        <v>3.459857257878995</v>
      </c>
      <c r="AI204" s="178">
        <f t="shared" si="281"/>
        <v>4.0999999999999996</v>
      </c>
      <c r="AJ204" s="178">
        <f t="shared" si="282"/>
        <v>3.6296296296296298</v>
      </c>
      <c r="AL204" s="560">
        <f t="shared" si="283"/>
        <v>752</v>
      </c>
      <c r="AM204" s="470">
        <f t="shared" si="284"/>
        <v>152.48475305177601</v>
      </c>
      <c r="AO204" t="str">
        <f t="shared" si="285"/>
        <v/>
      </c>
      <c r="AP204" t="str">
        <f t="shared" si="286"/>
        <v/>
      </c>
      <c r="AR204" s="6">
        <f t="shared" si="300"/>
        <v>6.5580327212154197</v>
      </c>
      <c r="AS204" s="6">
        <f t="shared" si="291"/>
        <v>3.1888888888888887</v>
      </c>
      <c r="AT204" s="6">
        <f t="shared" si="292"/>
        <v>3.369143832326531</v>
      </c>
      <c r="AU204" s="178">
        <f t="shared" si="293"/>
        <v>0.48625693473177461</v>
      </c>
      <c r="AW204" s="6">
        <f>L*Iout^2/(2*Vripple1_spec*Vout*Npri_sec1^2)*1000000000*((1+N204)/(1-N204))^2</f>
        <v>21.552126200274348</v>
      </c>
      <c r="AX204" s="6">
        <f>L*F204^2/(2*Cout*Vout*Nps^2)*1000000000*((1+N204)/(1-N204))^2+F204*RCoutEsr</f>
        <v>50.877596707818931</v>
      </c>
      <c r="AY204" s="6">
        <f>L*Iout2^2/(2*Vout_ripple2*Vout2*Npri_sec2^2)*1000000000*((1+N204)/(1-N204))^2</f>
        <v>8.4187992969821668</v>
      </c>
      <c r="AZ204" s="6">
        <f>L*G204^2/(2*Cout2*Vout2*Npri_sec2^2)*1000000000*((1+N204)/(1-N204))^2+G204*CoutEsr2</f>
        <v>20.402811213991765</v>
      </c>
      <c r="BA204" s="6">
        <f>(H204+I204)/Efficiency/J204*AT204/Vinripple1</f>
        <v>8.5605588316632009</v>
      </c>
      <c r="BB204" s="6"/>
      <c r="BC204" s="6"/>
      <c r="BD204" s="178">
        <f t="shared" si="235"/>
        <v>1.6506543220635397</v>
      </c>
      <c r="BE204" s="178">
        <f t="shared" si="236"/>
        <v>1.6966654479850436</v>
      </c>
      <c r="BF204" s="178">
        <f t="shared" si="237"/>
        <v>1.0604159049906521</v>
      </c>
      <c r="BG204" s="178"/>
      <c r="BH204" s="543">
        <f t="shared" si="238"/>
        <v>0.29971256600417484</v>
      </c>
      <c r="BI204" s="543">
        <f t="shared" si="239"/>
        <v>6.6426170548179911E-2</v>
      </c>
      <c r="BJ204" s="543">
        <f t="shared" si="240"/>
        <v>7.6242376525887997E-3</v>
      </c>
      <c r="BK204" s="543">
        <f t="shared" si="241"/>
        <v>1.5492689167487085E-2</v>
      </c>
      <c r="BL204">
        <f t="shared" si="242"/>
        <v>2.6099999999999999E-3</v>
      </c>
      <c r="BM204" s="470">
        <f t="shared" si="243"/>
        <v>391.86566337243062</v>
      </c>
      <c r="BN204" s="178">
        <f t="shared" si="244"/>
        <v>0.30080000000000001</v>
      </c>
      <c r="BO204" s="178">
        <f t="shared" si="245"/>
        <v>0.188</v>
      </c>
      <c r="BP204" s="543"/>
      <c r="BR204" s="470">
        <f t="shared" si="246"/>
        <v>488.8</v>
      </c>
      <c r="BS204" s="543">
        <f t="shared" si="247"/>
        <v>0.10898638763788177</v>
      </c>
      <c r="BT204" s="543">
        <f t="shared" si="248"/>
        <v>0.11514694569545154</v>
      </c>
      <c r="BU204" s="543">
        <f t="shared" si="249"/>
        <v>3.3734456746714311E-2</v>
      </c>
      <c r="BV204" s="543">
        <f t="shared" si="250"/>
        <v>0</v>
      </c>
      <c r="BW204" s="648">
        <f t="shared" si="287"/>
        <v>9.6122576205013327E-2</v>
      </c>
      <c r="BX204" s="470">
        <f t="shared" si="294"/>
        <v>353.99036628506099</v>
      </c>
      <c r="BY204" s="178">
        <f t="shared" si="295"/>
        <v>1.2346560296574915</v>
      </c>
      <c r="BZ204" s="6">
        <f t="shared" si="296"/>
        <v>12.532955599547506</v>
      </c>
      <c r="CA204" s="178">
        <f t="shared" si="297"/>
        <v>0.91032169827928344</v>
      </c>
      <c r="CB204" s="6">
        <f t="shared" si="298"/>
        <v>91.032169827928342</v>
      </c>
      <c r="CC204">
        <f t="shared" si="299"/>
        <v>94</v>
      </c>
      <c r="CE204" s="577">
        <f t="shared" si="288"/>
        <v>-50</v>
      </c>
      <c r="CF204">
        <f t="shared" si="289"/>
        <v>-50</v>
      </c>
    </row>
    <row r="205" spans="5:84" x14ac:dyDescent="0.2">
      <c r="E205" s="175">
        <v>95</v>
      </c>
      <c r="F205" s="222">
        <f t="shared" si="290"/>
        <v>0.76</v>
      </c>
      <c r="G205" s="222">
        <f t="shared" si="257"/>
        <v>0.47499999999999998</v>
      </c>
      <c r="H205" s="222">
        <f t="shared" si="258"/>
        <v>9.120000000000001</v>
      </c>
      <c r="I205" s="222">
        <f t="shared" si="259"/>
        <v>5.6999999999999993</v>
      </c>
      <c r="J205" s="556">
        <f t="shared" si="260"/>
        <v>9</v>
      </c>
      <c r="K205" s="452">
        <f t="shared" si="261"/>
        <v>8.4314479638009026</v>
      </c>
      <c r="L205" s="452">
        <f t="shared" si="262"/>
        <v>21.25</v>
      </c>
      <c r="M205" s="452"/>
      <c r="N205" s="222">
        <f t="shared" si="263"/>
        <v>0.57647058823529407</v>
      </c>
      <c r="O205" s="177">
        <f t="shared" si="264"/>
        <v>6.2179004524886858</v>
      </c>
      <c r="P205" s="177">
        <f t="shared" si="265"/>
        <v>6.3150551470588203</v>
      </c>
      <c r="Q205" s="222">
        <f t="shared" si="266"/>
        <v>0.51815837104072382</v>
      </c>
      <c r="R205" s="222">
        <f t="shared" si="267"/>
        <v>0.51815837104072382</v>
      </c>
      <c r="S205" s="222">
        <f t="shared" si="268"/>
        <v>8.1814479638009026</v>
      </c>
      <c r="T205" s="222">
        <f t="shared" si="269"/>
        <v>4.0999999999999996</v>
      </c>
      <c r="U205" s="222">
        <f t="shared" si="270"/>
        <v>3.1888888888888887</v>
      </c>
      <c r="V205" s="222">
        <f t="shared" si="271"/>
        <v>3.403923041833258</v>
      </c>
      <c r="W205" s="202">
        <f t="shared" si="272"/>
        <v>350</v>
      </c>
      <c r="X205" s="452">
        <f t="shared" si="273"/>
        <v>151.68034679406736</v>
      </c>
      <c r="Z205" s="222">
        <f t="shared" si="274"/>
        <v>1.776826919587646</v>
      </c>
      <c r="AA205" s="178">
        <f t="shared" si="275"/>
        <v>1.4751663641302437</v>
      </c>
      <c r="AB205" s="178">
        <f t="shared" si="276"/>
        <v>0.28227395610150685</v>
      </c>
      <c r="AC205" s="178"/>
      <c r="AD205" s="178">
        <f t="shared" si="277"/>
        <v>0.68078460836665156</v>
      </c>
      <c r="AE205" s="560">
        <f t="shared" si="278"/>
        <v>2722.8267410931794</v>
      </c>
      <c r="AF205" s="543">
        <f t="shared" si="279"/>
        <v>9.7692591300614487E-2</v>
      </c>
      <c r="AH205" s="178">
        <f t="shared" si="280"/>
        <v>3.478212067093303</v>
      </c>
      <c r="AI205" s="178">
        <f t="shared" si="281"/>
        <v>4.0999999999999996</v>
      </c>
      <c r="AJ205" s="178">
        <f t="shared" si="282"/>
        <v>3.6296296296296298</v>
      </c>
      <c r="AL205" s="560">
        <f t="shared" si="283"/>
        <v>760</v>
      </c>
      <c r="AM205" s="470">
        <f t="shared" si="284"/>
        <v>151.68034679406736</v>
      </c>
      <c r="AO205" t="str">
        <f t="shared" si="285"/>
        <v/>
      </c>
      <c r="AP205" t="str">
        <f t="shared" si="286"/>
        <v/>
      </c>
      <c r="AR205" s="6">
        <f t="shared" si="300"/>
        <v>6.5928119307221467</v>
      </c>
      <c r="AS205" s="6">
        <f t="shared" si="291"/>
        <v>3.1888888888888887</v>
      </c>
      <c r="AT205" s="6">
        <f t="shared" si="292"/>
        <v>3.403923041833258</v>
      </c>
      <c r="AU205" s="178">
        <f t="shared" si="293"/>
        <v>0.48369177255441476</v>
      </c>
      <c r="AW205" s="6">
        <f>L*Iout^2/(2*Vripple1_spec*Vout*Npri_sec1^2)*1000000000*((1+N205)/(1-N205))^2</f>
        <v>21.552126200274348</v>
      </c>
      <c r="AX205" s="6">
        <f>L*F205^2/(2*Cout*Vout*Nps^2)*1000000000*((1+N205)/(1-N205))^2+F205*RCoutEsr</f>
        <v>51.941601435951306</v>
      </c>
      <c r="AY205" s="6">
        <f>L*Iout2^2/(2*Vout_ripple2*Vout2*Npri_sec2^2)*1000000000*((1+N205)/(1-N205))^2</f>
        <v>8.4187992969821668</v>
      </c>
      <c r="AZ205" s="6">
        <f>L*G205^2/(2*Cout2*Vout2*Npri_sec2^2)*1000000000*((1+N205)/(1-N205))^2+G205*CoutEsr2</f>
        <v>20.824063060918483</v>
      </c>
      <c r="BA205" s="6">
        <f>(H205+I205)/Efficiency/J205*AT205/Vinripple1</f>
        <v>8.7409381814977483</v>
      </c>
      <c r="BB205" s="6"/>
      <c r="BC205" s="6"/>
      <c r="BD205" s="178">
        <f t="shared" si="235"/>
        <v>1.6462946978634283</v>
      </c>
      <c r="BE205" s="178">
        <f t="shared" si="236"/>
        <v>1.700895970105196</v>
      </c>
      <c r="BF205" s="178">
        <f t="shared" si="237"/>
        <v>1.0630599813157473</v>
      </c>
      <c r="BG205" s="178"/>
      <c r="BH205" s="543">
        <f t="shared" si="238"/>
        <v>0.29813148554345603</v>
      </c>
      <c r="BI205" s="543">
        <f t="shared" si="239"/>
        <v>6.6075751072165581E-2</v>
      </c>
      <c r="BJ205" s="543">
        <f t="shared" si="240"/>
        <v>7.5840173397033681E-3</v>
      </c>
      <c r="BK205" s="543">
        <f t="shared" si="241"/>
        <v>1.5410960234819112E-2</v>
      </c>
      <c r="BL205">
        <f t="shared" si="242"/>
        <v>2.6099999999999999E-3</v>
      </c>
      <c r="BM205" s="470">
        <f t="shared" si="243"/>
        <v>389.81221419014412</v>
      </c>
      <c r="BN205" s="178">
        <f t="shared" si="244"/>
        <v>0.30400000000000005</v>
      </c>
      <c r="BO205" s="178">
        <f t="shared" si="245"/>
        <v>0.19</v>
      </c>
      <c r="BP205" s="543"/>
      <c r="BR205" s="470">
        <f t="shared" si="246"/>
        <v>494.00000000000006</v>
      </c>
      <c r="BS205" s="543">
        <f t="shared" si="247"/>
        <v>0.10841144928852947</v>
      </c>
      <c r="BT205" s="543">
        <f t="shared" si="248"/>
        <v>0.11572188404480384</v>
      </c>
      <c r="BU205" s="543">
        <f t="shared" si="249"/>
        <v>3.3902895716251109E-2</v>
      </c>
      <c r="BV205" s="543">
        <f t="shared" si="250"/>
        <v>0</v>
      </c>
      <c r="BW205" s="648">
        <f t="shared" si="287"/>
        <v>9.5615498610310226E-2</v>
      </c>
      <c r="BX205" s="470">
        <f t="shared" si="294"/>
        <v>353.65172765989462</v>
      </c>
      <c r="BY205" s="178">
        <f t="shared" si="295"/>
        <v>1.2374639418500386</v>
      </c>
      <c r="BZ205" s="6">
        <f t="shared" si="296"/>
        <v>12.532955599547506</v>
      </c>
      <c r="CA205" s="178">
        <f t="shared" si="297"/>
        <v>0.91013607551099718</v>
      </c>
      <c r="CB205" s="6">
        <f t="shared" si="298"/>
        <v>91.013607551099724</v>
      </c>
      <c r="CC205">
        <f t="shared" si="299"/>
        <v>95</v>
      </c>
      <c r="CE205" s="577">
        <f t="shared" si="288"/>
        <v>-50</v>
      </c>
      <c r="CF205">
        <f t="shared" si="289"/>
        <v>-50</v>
      </c>
    </row>
    <row r="206" spans="5:84" x14ac:dyDescent="0.2">
      <c r="E206" s="175">
        <v>96</v>
      </c>
      <c r="F206" s="222">
        <f t="shared" si="290"/>
        <v>0.76800000000000002</v>
      </c>
      <c r="G206" s="222">
        <f t="shared" si="257"/>
        <v>0.48</v>
      </c>
      <c r="H206" s="222">
        <f t="shared" si="258"/>
        <v>9.2160000000000011</v>
      </c>
      <c r="I206" s="222">
        <f t="shared" si="259"/>
        <v>5.76</v>
      </c>
      <c r="J206" s="556">
        <f t="shared" si="260"/>
        <v>9</v>
      </c>
      <c r="K206" s="452">
        <f t="shared" si="261"/>
        <v>8.3462245475113104</v>
      </c>
      <c r="L206" s="452">
        <f t="shared" si="262"/>
        <v>21.25</v>
      </c>
      <c r="M206" s="452"/>
      <c r="N206" s="222">
        <f t="shared" si="263"/>
        <v>0.57647058823529407</v>
      </c>
      <c r="O206" s="177">
        <f t="shared" ref="O206:O210" si="301">N206*J206*Isw_max*0.5*Efficiency*Pout/(Pout+Pout2)</f>
        <v>6.2179004524886858</v>
      </c>
      <c r="P206" s="177">
        <f t="shared" si="265"/>
        <v>6.3150551470588203</v>
      </c>
      <c r="Q206" s="222">
        <f t="shared" si="266"/>
        <v>0.51815837104072382</v>
      </c>
      <c r="R206" s="222">
        <f t="shared" si="267"/>
        <v>0.51815837104072382</v>
      </c>
      <c r="S206" s="222">
        <f t="shared" si="268"/>
        <v>8.0962245475113104</v>
      </c>
      <c r="T206" s="222">
        <f t="shared" si="269"/>
        <v>4.0999999999999996</v>
      </c>
      <c r="U206" s="222">
        <f t="shared" si="270"/>
        <v>3.1888888888888887</v>
      </c>
      <c r="V206" s="222">
        <f t="shared" si="271"/>
        <v>3.4386805479080724</v>
      </c>
      <c r="W206" s="202">
        <f t="shared" si="272"/>
        <v>350</v>
      </c>
      <c r="X206" s="452">
        <f t="shared" si="273"/>
        <v>150.88487710862674</v>
      </c>
      <c r="Z206" s="222">
        <f t="shared" si="274"/>
        <v>1.7675085604153418</v>
      </c>
      <c r="AA206" s="178">
        <f t="shared" si="275"/>
        <v>1.4824139768198139</v>
      </c>
      <c r="AB206" s="178">
        <f t="shared" ref="AB206:AB210" si="302">0.5*AA206*Z206*Nps*W206/1000*(Pout/(Pout+Pout2))</f>
        <v>0.28217316551936306</v>
      </c>
      <c r="AC206" s="178"/>
      <c r="AD206" s="178">
        <f t="shared" si="277"/>
        <v>0.68773610958161446</v>
      </c>
      <c r="AE206" s="560">
        <f t="shared" ref="AE206:AE210" si="303">MAX(10, F206/(0.5*AD206/1000000*Isw_min*Nps)/1000*Pout_total/Pout)</f>
        <v>2723.6765753754944</v>
      </c>
      <c r="AF206" s="543">
        <f t="shared" si="279"/>
        <v>9.8690131724961661E-2</v>
      </c>
      <c r="AH206" s="178">
        <f t="shared" si="280"/>
        <v>3.4964705236064808</v>
      </c>
      <c r="AI206" s="178">
        <f t="shared" ref="AI206:AI210" si="304">MAX(IF(F206&gt;AB206,T206,AH206),Isw_min)</f>
        <v>4.0999999999999996</v>
      </c>
      <c r="AJ206" s="178">
        <f t="shared" ref="AJ206:AJ210" si="305">IF(F206&gt;AF206, (AI206-Isw_min)/1.08*0.8+1.2, AE206*0.2/350+1)</f>
        <v>3.6296296296296298</v>
      </c>
      <c r="AL206" s="560">
        <f t="shared" si="283"/>
        <v>768</v>
      </c>
      <c r="AM206" s="470">
        <f t="shared" si="284"/>
        <v>150.88487710862674</v>
      </c>
      <c r="AO206" t="str">
        <f t="shared" si="285"/>
        <v/>
      </c>
      <c r="AP206" t="str">
        <f t="shared" si="286"/>
        <v/>
      </c>
      <c r="AR206" s="6">
        <f t="shared" si="300"/>
        <v>6.6275694367969615</v>
      </c>
      <c r="AS206" s="6">
        <f t="shared" si="291"/>
        <v>3.1888888888888887</v>
      </c>
      <c r="AT206" s="6">
        <f t="shared" si="292"/>
        <v>3.4386805479080729</v>
      </c>
      <c r="AU206" s="178">
        <f t="shared" si="293"/>
        <v>0.48115510811306522</v>
      </c>
      <c r="AW206" s="6">
        <f>L*Iout^2/(2*Vripple1_spec*Vout*Npri_sec1^2)*1000000000*((1+N206)/(1-N206))^2</f>
        <v>21.552126200274348</v>
      </c>
      <c r="AX206" s="6">
        <f>L*F206^2/(2*Cout*Vout*Nps^2)*1000000000*((1+N206)/(1-N206))^2+F206*RCoutEsr</f>
        <v>53.016611505122142</v>
      </c>
      <c r="AY206" s="6">
        <f>L*Iout2^2/(2*Vout_ripple2*Vout2*Npri_sec2^2)*1000000000*((1+N206)/(1-N206))^2</f>
        <v>8.4187992969821668</v>
      </c>
      <c r="AZ206" s="6">
        <f>L*G206^2/(2*Cout2*Vout2*Npri_sec2^2)*1000000000*((1+N206)/(1-N206))^2+G206*CoutEsr2</f>
        <v>21.249613869188334</v>
      </c>
      <c r="BA206" s="6">
        <f>(H206+I206)/Efficiency/J206*AT206/Vinripple1</f>
        <v>8.9231414139867979</v>
      </c>
      <c r="BB206" s="6"/>
      <c r="BC206" s="6"/>
      <c r="BD206" s="178">
        <f t="shared" si="235"/>
        <v>1.6419721239392409</v>
      </c>
      <c r="BE206" s="178">
        <f t="shared" si="236"/>
        <v>1.7050691708959467</v>
      </c>
      <c r="BF206" s="178">
        <f t="shared" si="237"/>
        <v>1.0656682318099664</v>
      </c>
      <c r="BG206" s="178"/>
      <c r="BH206" s="543">
        <f t="shared" si="238"/>
        <v>0.29656797013728958</v>
      </c>
      <c r="BI206" s="543">
        <f t="shared" si="239"/>
        <v>6.5729224590445515E-2</v>
      </c>
      <c r="BJ206" s="543">
        <f t="shared" si="240"/>
        <v>7.544243855431336E-3</v>
      </c>
      <c r="BK206" s="543">
        <f t="shared" si="241"/>
        <v>1.533013927185696E-2</v>
      </c>
      <c r="BL206">
        <f t="shared" si="242"/>
        <v>2.6099999999999999E-3</v>
      </c>
      <c r="BM206" s="470">
        <f t="shared" si="243"/>
        <v>387.78157785502339</v>
      </c>
      <c r="BN206" s="178">
        <f t="shared" si="244"/>
        <v>0.30720000000000003</v>
      </c>
      <c r="BO206" s="178">
        <f t="shared" si="245"/>
        <v>0.192</v>
      </c>
      <c r="BP206" s="543"/>
      <c r="BR206" s="470">
        <f t="shared" si="246"/>
        <v>499.20000000000005</v>
      </c>
      <c r="BS206" s="543">
        <f t="shared" si="247"/>
        <v>0.10784289823174166</v>
      </c>
      <c r="BT206" s="543">
        <f t="shared" si="248"/>
        <v>0.11629043510159165</v>
      </c>
      <c r="BU206" s="543">
        <f t="shared" si="249"/>
        <v>3.4069463408669405E-2</v>
      </c>
      <c r="BV206" s="543">
        <f t="shared" si="250"/>
        <v>0</v>
      </c>
      <c r="BW206" s="648">
        <f t="shared" si="287"/>
        <v>9.5114054407350601E-2</v>
      </c>
      <c r="BX206" s="470">
        <f t="shared" si="294"/>
        <v>353.31685114935328</v>
      </c>
      <c r="BY206" s="178">
        <f t="shared" si="295"/>
        <v>1.2402984290043766</v>
      </c>
      <c r="BZ206" s="6">
        <f t="shared" si="296"/>
        <v>12.532955599547506</v>
      </c>
      <c r="CA206" s="178">
        <f t="shared" si="297"/>
        <v>0.90994877271316976</v>
      </c>
      <c r="CB206" s="6">
        <f t="shared" si="298"/>
        <v>90.99487727131698</v>
      </c>
      <c r="CC206">
        <f t="shared" si="299"/>
        <v>96</v>
      </c>
      <c r="CE206" s="577">
        <f t="shared" si="288"/>
        <v>-50</v>
      </c>
      <c r="CF206">
        <f t="shared" si="289"/>
        <v>-50</v>
      </c>
    </row>
    <row r="207" spans="5:84" x14ac:dyDescent="0.2">
      <c r="E207" s="175">
        <v>97</v>
      </c>
      <c r="F207" s="222">
        <f t="shared" ref="F207:F210" si="306">IF(PLOT_TYPE=1, E207/100*Iout_max, min_I*EXP(O207*rr/100))</f>
        <v>0.77600000000000002</v>
      </c>
      <c r="G207" s="222">
        <f t="shared" si="257"/>
        <v>0.48499999999999999</v>
      </c>
      <c r="H207" s="222">
        <f t="shared" si="258"/>
        <v>9.3120000000000012</v>
      </c>
      <c r="I207" s="222">
        <f t="shared" si="259"/>
        <v>5.82</v>
      </c>
      <c r="J207" s="556">
        <f t="shared" si="260"/>
        <v>9</v>
      </c>
      <c r="K207" s="452">
        <f t="shared" si="261"/>
        <v>8.2627583150627384</v>
      </c>
      <c r="L207" s="452">
        <f t="shared" si="262"/>
        <v>21.25</v>
      </c>
      <c r="M207" s="452"/>
      <c r="N207" s="222">
        <f t="shared" si="263"/>
        <v>0.57647058823529407</v>
      </c>
      <c r="O207" s="177">
        <f t="shared" si="301"/>
        <v>6.2179004524886858</v>
      </c>
      <c r="P207" s="177">
        <f t="shared" si="265"/>
        <v>6.3150551470588203</v>
      </c>
      <c r="Q207" s="222">
        <f t="shared" si="266"/>
        <v>0.51815837104072382</v>
      </c>
      <c r="R207" s="222">
        <f t="shared" si="267"/>
        <v>0.51815837104072382</v>
      </c>
      <c r="S207" s="222">
        <f t="shared" si="268"/>
        <v>8.0127583150627384</v>
      </c>
      <c r="T207" s="222">
        <f t="shared" si="269"/>
        <v>4.0999999999999996</v>
      </c>
      <c r="U207" s="222">
        <f t="shared" si="270"/>
        <v>3.1888888888888887</v>
      </c>
      <c r="V207" s="222">
        <f t="shared" si="271"/>
        <v>3.4734163708601806</v>
      </c>
      <c r="W207" s="202">
        <f t="shared" si="272"/>
        <v>350</v>
      </c>
      <c r="X207" s="452">
        <f t="shared" si="273"/>
        <v>150.09819589648527</v>
      </c>
      <c r="Z207" s="222">
        <f t="shared" si="274"/>
        <v>1.7582931519302558</v>
      </c>
      <c r="AA207" s="178">
        <f t="shared" si="275"/>
        <v>1.489581516752658</v>
      </c>
      <c r="AB207" s="178">
        <f t="shared" si="302"/>
        <v>0.28205918247748585</v>
      </c>
      <c r="AC207" s="178"/>
      <c r="AD207" s="178">
        <f t="shared" si="277"/>
        <v>0.69468327417203612</v>
      </c>
      <c r="AE207" s="560">
        <f t="shared" si="303"/>
        <v>2724.5264096578085</v>
      </c>
      <c r="AF207" s="543">
        <f t="shared" si="279"/>
        <v>9.9687049843687175E-2</v>
      </c>
      <c r="AH207" s="178">
        <f t="shared" si="280"/>
        <v>3.5146341290701213</v>
      </c>
      <c r="AI207" s="178">
        <f t="shared" si="304"/>
        <v>4.0999999999999996</v>
      </c>
      <c r="AJ207" s="178">
        <f t="shared" si="305"/>
        <v>3.6296296296296298</v>
      </c>
      <c r="AL207" s="560">
        <f t="shared" si="283"/>
        <v>776</v>
      </c>
      <c r="AM207" s="470">
        <f t="shared" si="284"/>
        <v>150.09819589648527</v>
      </c>
      <c r="AO207" t="str">
        <f t="shared" si="285"/>
        <v/>
      </c>
      <c r="AP207" t="str">
        <f t="shared" si="286"/>
        <v/>
      </c>
      <c r="AR207" s="6">
        <f t="shared" si="300"/>
        <v>6.6623052597490702</v>
      </c>
      <c r="AS207" s="6">
        <f t="shared" si="291"/>
        <v>3.1888888888888887</v>
      </c>
      <c r="AT207" s="6">
        <f t="shared" si="292"/>
        <v>3.4734163708601815</v>
      </c>
      <c r="AU207" s="178">
        <f t="shared" si="293"/>
        <v>0.47864646913656961</v>
      </c>
      <c r="AW207" s="6">
        <f>L*Iout^2/(2*Vripple1_spec*Vout*Npri_sec1^2)*1000000000*((1+N207)/(1-N207))^2</f>
        <v>21.552126200274348</v>
      </c>
      <c r="AX207" s="6">
        <f>L*F207^2/(2*Cout*Vout*Nps^2)*1000000000*((1+N207)/(1-N207))^2+F207*RCoutEsr</f>
        <v>54.102626915331399</v>
      </c>
      <c r="AY207" s="6">
        <f>L*Iout2^2/(2*Vout_ripple2*Vout2*Npri_sec2^2)*1000000000*((1+N207)/(1-N207))^2</f>
        <v>8.4187992969821668</v>
      </c>
      <c r="AZ207" s="6">
        <f>L*G207^2/(2*Cout2*Vout2*Npri_sec2^2)*1000000000*((1+N207)/(1-N207))^2+G207*CoutEsr2</f>
        <v>21.67946363880133</v>
      </c>
      <c r="BA207" s="6">
        <f>(H207+I207)/Efficiency/J207*AT207/Vinripple1</f>
        <v>9.1071668224139088</v>
      </c>
      <c r="BB207" s="6"/>
      <c r="BC207" s="6"/>
      <c r="BD207" s="178">
        <f t="shared" si="235"/>
        <v>1.6376860857304874</v>
      </c>
      <c r="BE207" s="178">
        <f t="shared" si="236"/>
        <v>1.7091862443683801</v>
      </c>
      <c r="BF207" s="178">
        <f t="shared" si="237"/>
        <v>1.0682414027302374</v>
      </c>
      <c r="BG207" s="178"/>
      <c r="BH207" s="543">
        <f t="shared" si="238"/>
        <v>0.29502172869347698</v>
      </c>
      <c r="BI207" s="543">
        <f t="shared" si="239"/>
        <v>6.5386526587406374E-2</v>
      </c>
      <c r="BJ207" s="543">
        <f t="shared" si="240"/>
        <v>7.5049097948242625E-3</v>
      </c>
      <c r="BK207" s="543">
        <f t="shared" si="241"/>
        <v>1.5250211231513992E-2</v>
      </c>
      <c r="BL207">
        <f t="shared" si="242"/>
        <v>2.6099999999999999E-3</v>
      </c>
      <c r="BM207" s="470">
        <f t="shared" si="243"/>
        <v>385.77337630722161</v>
      </c>
      <c r="BN207" s="178">
        <f t="shared" si="244"/>
        <v>0.31040000000000001</v>
      </c>
      <c r="BO207" s="178">
        <f t="shared" si="245"/>
        <v>0.19400000000000001</v>
      </c>
      <c r="BP207" s="543"/>
      <c r="BR207" s="470">
        <f t="shared" si="246"/>
        <v>504.4</v>
      </c>
      <c r="BS207" s="543">
        <f t="shared" si="247"/>
        <v>0.10728062861580981</v>
      </c>
      <c r="BT207" s="543">
        <f t="shared" si="248"/>
        <v>0.11685270471752351</v>
      </c>
      <c r="BU207" s="543">
        <f t="shared" si="249"/>
        <v>3.4234190835211953E-2</v>
      </c>
      <c r="BV207" s="543">
        <f t="shared" si="250"/>
        <v>0</v>
      </c>
      <c r="BW207" s="648">
        <f t="shared" si="287"/>
        <v>9.461815023824692E-2</v>
      </c>
      <c r="BX207" s="470">
        <f t="shared" si="294"/>
        <v>352.98567440679216</v>
      </c>
      <c r="BY207" s="178">
        <f t="shared" si="295"/>
        <v>1.2431590507140138</v>
      </c>
      <c r="BZ207" s="6">
        <f t="shared" si="296"/>
        <v>12.532955599547506</v>
      </c>
      <c r="CA207" s="178">
        <f t="shared" si="297"/>
        <v>0.90975982109074471</v>
      </c>
      <c r="CB207" s="6">
        <f t="shared" si="298"/>
        <v>90.975982109074465</v>
      </c>
      <c r="CC207">
        <f t="shared" si="299"/>
        <v>97</v>
      </c>
      <c r="CE207" s="577">
        <f t="shared" si="288"/>
        <v>-50</v>
      </c>
      <c r="CF207">
        <f t="shared" si="289"/>
        <v>-50</v>
      </c>
    </row>
    <row r="208" spans="5:84" x14ac:dyDescent="0.2">
      <c r="E208" s="175">
        <v>98</v>
      </c>
      <c r="F208" s="222">
        <f t="shared" si="306"/>
        <v>0.78400000000000003</v>
      </c>
      <c r="G208" s="222">
        <f t="shared" si="257"/>
        <v>0.49</v>
      </c>
      <c r="H208" s="222">
        <f t="shared" si="258"/>
        <v>9.4080000000000013</v>
      </c>
      <c r="I208" s="222">
        <f t="shared" si="259"/>
        <v>5.88</v>
      </c>
      <c r="J208" s="556">
        <f t="shared" si="260"/>
        <v>9</v>
      </c>
      <c r="K208" s="452">
        <f t="shared" si="261"/>
        <v>8.1809954751131198</v>
      </c>
      <c r="L208" s="452">
        <f t="shared" si="262"/>
        <v>21.25</v>
      </c>
      <c r="M208" s="452"/>
      <c r="N208" s="222">
        <f t="shared" si="263"/>
        <v>0.57647058823529407</v>
      </c>
      <c r="O208" s="177">
        <f t="shared" si="301"/>
        <v>6.2179004524886858</v>
      </c>
      <c r="P208" s="177">
        <f t="shared" si="265"/>
        <v>6.3150551470588203</v>
      </c>
      <c r="Q208" s="222">
        <f t="shared" si="266"/>
        <v>0.51815837104072382</v>
      </c>
      <c r="R208" s="222">
        <f t="shared" si="267"/>
        <v>0.51815837104072382</v>
      </c>
      <c r="S208" s="222">
        <f t="shared" si="268"/>
        <v>7.9309954751131198</v>
      </c>
      <c r="T208" s="222">
        <f t="shared" si="269"/>
        <v>4.0999999999999996</v>
      </c>
      <c r="U208" s="222">
        <f t="shared" si="270"/>
        <v>3.1888888888888887</v>
      </c>
      <c r="V208" s="222">
        <f t="shared" si="271"/>
        <v>3.5081305309734523</v>
      </c>
      <c r="W208" s="202">
        <f t="shared" si="272"/>
        <v>350</v>
      </c>
      <c r="X208" s="452">
        <f t="shared" si="273"/>
        <v>149.32015831313734</v>
      </c>
      <c r="Z208" s="222">
        <f t="shared" si="274"/>
        <v>1.7491789973824661</v>
      </c>
      <c r="AA208" s="178">
        <f t="shared" si="275"/>
        <v>1.4966703036231612</v>
      </c>
      <c r="AB208" s="178">
        <f t="shared" si="302"/>
        <v>0.28193245888808777</v>
      </c>
      <c r="AC208" s="178"/>
      <c r="AD208" s="178">
        <f t="shared" si="277"/>
        <v>0.70162610619469035</v>
      </c>
      <c r="AE208" s="560">
        <f t="shared" si="303"/>
        <v>2725.3762439401239</v>
      </c>
      <c r="AF208" s="543">
        <f t="shared" si="279"/>
        <v>0.10068334623893806</v>
      </c>
      <c r="AH208" s="178">
        <f t="shared" si="280"/>
        <v>3.5327043465311387</v>
      </c>
      <c r="AI208" s="178">
        <f t="shared" si="304"/>
        <v>4.0999999999999996</v>
      </c>
      <c r="AJ208" s="178">
        <f t="shared" si="305"/>
        <v>3.6296296296296298</v>
      </c>
      <c r="AL208" s="560">
        <f t="shared" si="283"/>
        <v>784</v>
      </c>
      <c r="AM208" s="470">
        <f t="shared" si="284"/>
        <v>149.32015831313734</v>
      </c>
      <c r="AO208" t="str">
        <f t="shared" si="285"/>
        <v/>
      </c>
      <c r="AP208" t="str">
        <f t="shared" si="286"/>
        <v/>
      </c>
      <c r="AR208" s="6">
        <f t="shared" si="300"/>
        <v>6.6970194198623414</v>
      </c>
      <c r="AS208" s="6">
        <f t="shared" si="291"/>
        <v>3.1888888888888887</v>
      </c>
      <c r="AT208" s="6">
        <f t="shared" si="292"/>
        <v>3.5081305309734527</v>
      </c>
      <c r="AU208" s="178">
        <f t="shared" si="293"/>
        <v>0.47616539373189348</v>
      </c>
      <c r="AW208" s="6">
        <f>L*Iout^2/(2*Vripple1_spec*Vout*Npri_sec1^2)*1000000000*((1+N208)/(1-N208))^2</f>
        <v>21.552126200274348</v>
      </c>
      <c r="AX208" s="6">
        <f>L*F208^2/(2*Cout*Vout*Nps^2)*1000000000*((1+N208)/(1-N208))^2+F208*RCoutEsr</f>
        <v>55.199647666579111</v>
      </c>
      <c r="AY208" s="6">
        <f>L*Iout2^2/(2*Vout_ripple2*Vout2*Npri_sec2^2)*1000000000*((1+N208)/(1-N208))^2</f>
        <v>8.4187992969821668</v>
      </c>
      <c r="AZ208" s="6">
        <f>L*G208^2/(2*Cout2*Vout2*Npri_sec2^2)*1000000000*((1+N208)/(1-N208))^2+G208*CoutEsr2</f>
        <v>22.113612369757458</v>
      </c>
      <c r="BA208" s="6">
        <f>(H208+I208)/Efficiency/J208*AT208/Vinripple1</f>
        <v>9.2930127021914046</v>
      </c>
      <c r="BB208" s="6"/>
      <c r="BC208" s="6"/>
      <c r="BD208" s="178">
        <f t="shared" si="235"/>
        <v>1.6334360786017033</v>
      </c>
      <c r="BE208" s="178">
        <f t="shared" si="236"/>
        <v>1.7132483504896838</v>
      </c>
      <c r="BF208" s="178">
        <f t="shared" si="237"/>
        <v>1.0707802190560523</v>
      </c>
      <c r="BG208" s="178"/>
      <c r="BH208" s="543">
        <f t="shared" si="238"/>
        <v>0.29349247651654808</v>
      </c>
      <c r="BI208" s="543">
        <f t="shared" si="239"/>
        <v>6.5047593965160438E-2</v>
      </c>
      <c r="BJ208" s="543">
        <f t="shared" si="240"/>
        <v>7.4660079156568665E-3</v>
      </c>
      <c r="BK208" s="543">
        <f t="shared" si="241"/>
        <v>1.5171161397362118E-2</v>
      </c>
      <c r="BL208">
        <f t="shared" si="242"/>
        <v>2.6099999999999999E-3</v>
      </c>
      <c r="BM208" s="470">
        <f t="shared" si="243"/>
        <v>383.78723979472755</v>
      </c>
      <c r="BN208" s="178">
        <f t="shared" si="244"/>
        <v>0.31360000000000005</v>
      </c>
      <c r="BO208" s="178">
        <f t="shared" si="245"/>
        <v>0.19600000000000001</v>
      </c>
      <c r="BP208" s="543"/>
      <c r="BR208" s="470">
        <f t="shared" si="246"/>
        <v>509.60000000000008</v>
      </c>
      <c r="BS208" s="543">
        <f t="shared" si="247"/>
        <v>0.10672453691510839</v>
      </c>
      <c r="BT208" s="543">
        <f t="shared" si="248"/>
        <v>0.11740879641822489</v>
      </c>
      <c r="BU208" s="543">
        <f t="shared" si="249"/>
        <v>3.4397108325651814E-2</v>
      </c>
      <c r="BV208" s="543">
        <f t="shared" si="250"/>
        <v>0</v>
      </c>
      <c r="BW208" s="648">
        <f t="shared" si="287"/>
        <v>9.4127694796643971E-2</v>
      </c>
      <c r="BX208" s="470">
        <f t="shared" si="294"/>
        <v>352.65813645562906</v>
      </c>
      <c r="BY208" s="178">
        <f t="shared" si="295"/>
        <v>1.2460453762503567</v>
      </c>
      <c r="BZ208" s="6">
        <f t="shared" si="296"/>
        <v>12.532955599547506</v>
      </c>
      <c r="CA208" s="178">
        <f t="shared" si="297"/>
        <v>0.90956925117873388</v>
      </c>
      <c r="CB208" s="6">
        <f t="shared" si="298"/>
        <v>90.956925117873382</v>
      </c>
      <c r="CC208">
        <f t="shared" si="299"/>
        <v>98</v>
      </c>
      <c r="CE208" s="577">
        <f t="shared" si="288"/>
        <v>-50</v>
      </c>
      <c r="CF208">
        <f t="shared" si="289"/>
        <v>-50</v>
      </c>
    </row>
    <row r="209" spans="5:84" x14ac:dyDescent="0.2">
      <c r="E209" s="175">
        <v>99</v>
      </c>
      <c r="F209" s="222">
        <f t="shared" si="306"/>
        <v>0.79200000000000004</v>
      </c>
      <c r="G209" s="222">
        <f t="shared" si="257"/>
        <v>0.495</v>
      </c>
      <c r="H209" s="222">
        <f t="shared" si="258"/>
        <v>9.5040000000000013</v>
      </c>
      <c r="I209" s="222">
        <f t="shared" si="259"/>
        <v>5.9399999999999995</v>
      </c>
      <c r="J209" s="556">
        <f t="shared" si="260"/>
        <v>9</v>
      </c>
      <c r="K209" s="452">
        <f t="shared" si="261"/>
        <v>8.1008844097079376</v>
      </c>
      <c r="L209" s="452">
        <f t="shared" si="262"/>
        <v>21.25</v>
      </c>
      <c r="M209" s="452"/>
      <c r="N209" s="222">
        <f t="shared" si="263"/>
        <v>0.57647058823529407</v>
      </c>
      <c r="O209" s="177">
        <f t="shared" si="301"/>
        <v>6.2179004524886858</v>
      </c>
      <c r="P209" s="177">
        <f t="shared" si="265"/>
        <v>6.3150551470588203</v>
      </c>
      <c r="Q209" s="222">
        <f t="shared" si="266"/>
        <v>0.51815837104072382</v>
      </c>
      <c r="R209" s="222">
        <f t="shared" si="267"/>
        <v>0.51815837104072382</v>
      </c>
      <c r="S209" s="222">
        <f t="shared" si="268"/>
        <v>7.8508844097079367</v>
      </c>
      <c r="T209" s="222">
        <f t="shared" si="269"/>
        <v>4.0999999999999996</v>
      </c>
      <c r="U209" s="222">
        <f t="shared" si="270"/>
        <v>3.1888888888888887</v>
      </c>
      <c r="V209" s="222">
        <f t="shared" si="271"/>
        <v>3.542823048506468</v>
      </c>
      <c r="W209" s="202">
        <f t="shared" si="272"/>
        <v>350</v>
      </c>
      <c r="X209" s="452">
        <f t="shared" si="273"/>
        <v>148.55062267963316</v>
      </c>
      <c r="Z209" s="222">
        <f t="shared" si="274"/>
        <v>1.7401644371042742</v>
      </c>
      <c r="AA209" s="178">
        <f t="shared" si="275"/>
        <v>1.5036816282839776</v>
      </c>
      <c r="AB209" s="178">
        <f t="shared" si="302"/>
        <v>0.2817934316902736</v>
      </c>
      <c r="AC209" s="178"/>
      <c r="AD209" s="178">
        <f t="shared" si="277"/>
        <v>0.70856460970129365</v>
      </c>
      <c r="AE209" s="560">
        <f t="shared" si="303"/>
        <v>2726.2260782224394</v>
      </c>
      <c r="AF209" s="543">
        <f t="shared" si="279"/>
        <v>0.10167902149213563</v>
      </c>
      <c r="AH209" s="178">
        <f t="shared" si="280"/>
        <v>3.5506826018070821</v>
      </c>
      <c r="AI209" s="178">
        <f t="shared" si="304"/>
        <v>4.0999999999999996</v>
      </c>
      <c r="AJ209" s="178">
        <f t="shared" si="305"/>
        <v>3.6296296296296298</v>
      </c>
      <c r="AL209" s="560">
        <f t="shared" si="283"/>
        <v>792</v>
      </c>
      <c r="AM209" s="470">
        <f t="shared" si="284"/>
        <v>148.55062267963316</v>
      </c>
      <c r="AO209" t="str">
        <f t="shared" si="285"/>
        <v/>
      </c>
      <c r="AP209" t="str">
        <f t="shared" si="286"/>
        <v/>
      </c>
      <c r="AR209" s="6">
        <f t="shared" si="300"/>
        <v>6.7317119373953567</v>
      </c>
      <c r="AS209" s="6">
        <f t="shared" si="291"/>
        <v>3.1888888888888887</v>
      </c>
      <c r="AT209" s="6">
        <f t="shared" si="292"/>
        <v>3.542823048506468</v>
      </c>
      <c r="AU209" s="178">
        <f t="shared" si="293"/>
        <v>0.47371143010060796</v>
      </c>
      <c r="AW209" s="6">
        <f>L*Iout^2/(2*Vripple1_spec*Vout*Npri_sec1^2)*1000000000*((1+N209)/(1-N209))^2</f>
        <v>21.552126200274348</v>
      </c>
      <c r="AX209" s="6">
        <f>L*F209^2/(2*Cout*Vout*Nps^2)*1000000000*((1+N209)/(1-N209))^2+F209*RCoutEsr</f>
        <v>56.307673758865242</v>
      </c>
      <c r="AY209" s="6">
        <f>L*Iout2^2/(2*Vout_ripple2*Vout2*Npri_sec2^2)*1000000000*((1+N209)/(1-N209))^2</f>
        <v>8.4187992969821668</v>
      </c>
      <c r="AZ209" s="6">
        <f>L*G209^2/(2*Cout2*Vout2*Npri_sec2^2)*1000000000*((1+N209)/(1-N209))^2+G209*CoutEsr2</f>
        <v>22.552060062056732</v>
      </c>
      <c r="BA209" s="6">
        <f>(H209+I209)/Efficiency/J209*AT209/Vinripple1</f>
        <v>9.480677350857075</v>
      </c>
      <c r="BB209" s="6"/>
      <c r="BC209" s="6"/>
      <c r="BD209" s="178">
        <f t="shared" si="235"/>
        <v>1.6292216075978552</v>
      </c>
      <c r="BE209" s="178">
        <f t="shared" si="236"/>
        <v>1.7172566164291208</v>
      </c>
      <c r="BF209" s="178">
        <f t="shared" si="237"/>
        <v>1.0732853852682003</v>
      </c>
      <c r="BG209" s="178"/>
      <c r="BH209" s="543">
        <f t="shared" si="238"/>
        <v>0.29197993513301135</v>
      </c>
      <c r="BI209" s="543">
        <f t="shared" si="239"/>
        <v>6.4712365004815184E-2</v>
      </c>
      <c r="BJ209" s="543">
        <f t="shared" si="240"/>
        <v>7.4275311339816576E-3</v>
      </c>
      <c r="BK209" s="543">
        <f t="shared" si="241"/>
        <v>1.5092975374598666E-2</v>
      </c>
      <c r="BL209">
        <f t="shared" si="242"/>
        <v>2.6099999999999999E-3</v>
      </c>
      <c r="BM209" s="470">
        <f t="shared" si="243"/>
        <v>381.82280664640689</v>
      </c>
      <c r="BN209" s="178">
        <f t="shared" si="244"/>
        <v>0.31680000000000003</v>
      </c>
      <c r="BO209" s="178">
        <f t="shared" si="245"/>
        <v>0.19800000000000001</v>
      </c>
      <c r="BP209" s="543"/>
      <c r="BR209" s="470">
        <f t="shared" si="246"/>
        <v>514.80000000000007</v>
      </c>
      <c r="BS209" s="543">
        <f t="shared" si="247"/>
        <v>0.10617452186654959</v>
      </c>
      <c r="BT209" s="543">
        <f t="shared" si="248"/>
        <v>0.11795881146678369</v>
      </c>
      <c r="BU209" s="543">
        <f t="shared" si="249"/>
        <v>3.4558245546909269E-2</v>
      </c>
      <c r="BV209" s="543">
        <f t="shared" si="250"/>
        <v>0</v>
      </c>
      <c r="BW209" s="648">
        <f t="shared" si="287"/>
        <v>9.3642598771673774E-2</v>
      </c>
      <c r="BX209" s="470">
        <f t="shared" si="294"/>
        <v>352.33417765191632</v>
      </c>
      <c r="BY209" s="178">
        <f t="shared" si="295"/>
        <v>1.2489569842983232</v>
      </c>
      <c r="BZ209" s="6">
        <f t="shared" si="296"/>
        <v>12.532955599547506</v>
      </c>
      <c r="CA209" s="178">
        <f t="shared" si="297"/>
        <v>0.90937709285993729</v>
      </c>
      <c r="CB209" s="6">
        <f t="shared" si="298"/>
        <v>90.937709285993733</v>
      </c>
      <c r="CC209">
        <f t="shared" si="299"/>
        <v>99</v>
      </c>
      <c r="CE209" s="577">
        <f t="shared" si="288"/>
        <v>-50</v>
      </c>
      <c r="CF209">
        <f t="shared" si="289"/>
        <v>-50</v>
      </c>
    </row>
    <row r="210" spans="5:84" x14ac:dyDescent="0.2">
      <c r="E210" s="175">
        <v>100</v>
      </c>
      <c r="F210" s="222">
        <f t="shared" si="306"/>
        <v>0.8</v>
      </c>
      <c r="G210" s="222">
        <f t="shared" si="257"/>
        <v>0.5</v>
      </c>
      <c r="H210" s="222">
        <f t="shared" si="258"/>
        <v>9.6000000000000014</v>
      </c>
      <c r="I210" s="222">
        <f t="shared" si="259"/>
        <v>6</v>
      </c>
      <c r="J210" s="556">
        <f t="shared" si="260"/>
        <v>9</v>
      </c>
      <c r="K210" s="452">
        <f t="shared" si="261"/>
        <v>8.022375565610858</v>
      </c>
      <c r="L210" s="452">
        <f t="shared" si="262"/>
        <v>21.25</v>
      </c>
      <c r="M210" s="452"/>
      <c r="N210" s="222">
        <f t="shared" si="263"/>
        <v>0.57647058823529407</v>
      </c>
      <c r="O210" s="177">
        <f t="shared" si="301"/>
        <v>6.2179004524886858</v>
      </c>
      <c r="P210" s="177">
        <f t="shared" si="265"/>
        <v>6.3150551470588203</v>
      </c>
      <c r="Q210" s="222">
        <f t="shared" si="266"/>
        <v>0.51815837104072382</v>
      </c>
      <c r="R210" s="222">
        <f t="shared" si="267"/>
        <v>0.51815837104072382</v>
      </c>
      <c r="S210" s="222">
        <f t="shared" si="268"/>
        <v>7.7723755656108571</v>
      </c>
      <c r="T210" s="222">
        <f t="shared" si="269"/>
        <v>4.0999999999999996</v>
      </c>
      <c r="U210" s="222">
        <f t="shared" si="270"/>
        <v>3.1888888888888887</v>
      </c>
      <c r="V210" s="222">
        <f t="shared" si="271"/>
        <v>3.577493943692557</v>
      </c>
      <c r="W210" s="202">
        <f t="shared" si="272"/>
        <v>350</v>
      </c>
      <c r="X210" s="452">
        <f t="shared" si="273"/>
        <v>147.78945039657023</v>
      </c>
      <c r="Z210" s="222">
        <f t="shared" si="274"/>
        <v>1.7312478475026798</v>
      </c>
      <c r="AA210" s="178">
        <f t="shared" si="275"/>
        <v>1.510616753529662</v>
      </c>
      <c r="AB210" s="178">
        <f t="shared" si="302"/>
        <v>0.28164252339458451</v>
      </c>
      <c r="AC210" s="178"/>
      <c r="AD210" s="178">
        <f t="shared" si="277"/>
        <v>0.71549878873851147</v>
      </c>
      <c r="AE210" s="560">
        <f t="shared" si="303"/>
        <v>2727.0759125047539</v>
      </c>
      <c r="AF210" s="543">
        <f t="shared" si="279"/>
        <v>0.10267407618397638</v>
      </c>
      <c r="AH210" s="178">
        <f t="shared" si="280"/>
        <v>3.5685702847990846</v>
      </c>
      <c r="AI210" s="178">
        <f t="shared" si="304"/>
        <v>4.0999999999999996</v>
      </c>
      <c r="AJ210" s="178">
        <f t="shared" si="305"/>
        <v>3.6296296296296298</v>
      </c>
      <c r="AL210" s="560">
        <f t="shared" si="283"/>
        <v>800</v>
      </c>
      <c r="AM210" s="470">
        <f t="shared" si="284"/>
        <v>147.78945039657023</v>
      </c>
      <c r="AO210" t="str">
        <f t="shared" si="285"/>
        <v/>
      </c>
      <c r="AP210" t="str">
        <f t="shared" si="286"/>
        <v/>
      </c>
      <c r="AR210" s="6">
        <f t="shared" si="300"/>
        <v>6.7663828325814457</v>
      </c>
      <c r="AS210" s="6">
        <f t="shared" si="291"/>
        <v>3.1888888888888887</v>
      </c>
      <c r="AT210" s="6">
        <f t="shared" si="292"/>
        <v>3.577493943692557</v>
      </c>
      <c r="AU210" s="178">
        <f t="shared" si="293"/>
        <v>0.4712841362646184</v>
      </c>
      <c r="AW210" s="6">
        <f>L*Iout^2/(2*Vripple1_spec*Vout*Npri_sec1^2)*1000000000*((1+N210)/(1-N210))^2</f>
        <v>21.552126200274348</v>
      </c>
      <c r="AX210" s="6">
        <f>L*F210^2/(2*Cout*Vout*Nps^2)*1000000000*((1+N210)/(1-N210))^2+F210*RCoutEsr</f>
        <v>57.426705192189829</v>
      </c>
      <c r="AY210" s="6">
        <f>L*Iout2^2/(2*Vout_ripple2*Vout2*Npri_sec2^2)*1000000000*((1+N210)/(1-N210))^2</f>
        <v>8.4187992969821668</v>
      </c>
      <c r="AZ210" s="6">
        <f>L*G210^2/(2*Cout2*Vout2*Npri_sec2^2)*1000000000*((1+N210)/(1-N210))^2+G210*CoutEsr2</f>
        <v>22.994806715699148</v>
      </c>
      <c r="BA210" s="6">
        <f>(H210+I210)/Efficiency/J210*AT210/Vinripple1</f>
        <v>9.6701590680708502</v>
      </c>
      <c r="BB210" s="6"/>
      <c r="BC210" s="6"/>
      <c r="BD210" s="178">
        <f t="shared" si="235"/>
        <v>1.6250421872070719</v>
      </c>
      <c r="BE210" s="178">
        <f t="shared" si="236"/>
        <v>1.7212121377478686</v>
      </c>
      <c r="BF210" s="178">
        <f t="shared" si="237"/>
        <v>1.0757575860924178</v>
      </c>
      <c r="BG210" s="178"/>
      <c r="BH210" s="543">
        <f t="shared" si="238"/>
        <v>0.29048383212230189</v>
      </c>
      <c r="BI210" s="543">
        <f t="shared" si="239"/>
        <v>6.4380779329005905E-2</v>
      </c>
      <c r="BJ210" s="543">
        <f t="shared" si="240"/>
        <v>7.3894725198285112E-3</v>
      </c>
      <c r="BK210" s="543">
        <f t="shared" si="241"/>
        <v>1.5015639081307781E-2</v>
      </c>
      <c r="BL210">
        <f t="shared" si="242"/>
        <v>2.6099999999999999E-3</v>
      </c>
      <c r="BM210" s="470">
        <f t="shared" si="243"/>
        <v>379.87972305244404</v>
      </c>
      <c r="BN210" s="178">
        <f t="shared" si="244"/>
        <v>0.32000000000000006</v>
      </c>
      <c r="BO210" s="178">
        <f t="shared" si="245"/>
        <v>0.2</v>
      </c>
      <c r="BP210" s="543"/>
      <c r="BR210" s="470">
        <f t="shared" si="246"/>
        <v>520</v>
      </c>
      <c r="BS210" s="543">
        <f t="shared" si="247"/>
        <v>0.10563048440810978</v>
      </c>
      <c r="BT210" s="543">
        <f t="shared" si="248"/>
        <v>0.11850284892522352</v>
      </c>
      <c r="BU210" s="543">
        <f t="shared" si="249"/>
        <v>3.4717631521061568E-2</v>
      </c>
      <c r="BV210" s="543">
        <f t="shared" si="250"/>
        <v>0</v>
      </c>
      <c r="BW210" s="648">
        <f t="shared" si="287"/>
        <v>9.3162774793737968E-2</v>
      </c>
      <c r="BX210" s="470">
        <f t="shared" si="294"/>
        <v>352.0137396481328</v>
      </c>
      <c r="BY210" s="178">
        <f t="shared" si="295"/>
        <v>1.2518934627005769</v>
      </c>
      <c r="BZ210" s="6">
        <f t="shared" si="296"/>
        <v>12.532955599547506</v>
      </c>
      <c r="CA210" s="178">
        <f t="shared" si="297"/>
        <v>0.90918337538210126</v>
      </c>
      <c r="CB210" s="6">
        <f t="shared" si="298"/>
        <v>90.918337538210125</v>
      </c>
      <c r="CC210">
        <f t="shared" si="299"/>
        <v>100</v>
      </c>
      <c r="CE210" s="577">
        <f t="shared" si="288"/>
        <v>-50</v>
      </c>
      <c r="CF210">
        <f t="shared" si="289"/>
        <v>-50</v>
      </c>
    </row>
    <row r="211" spans="5:84" x14ac:dyDescent="0.2">
      <c r="E211" s="175"/>
      <c r="F211" s="222"/>
      <c r="G211" s="222"/>
      <c r="H211" s="222"/>
      <c r="I211" s="222"/>
      <c r="J211" s="556"/>
      <c r="K211" s="452"/>
      <c r="L211" s="452"/>
      <c r="M211" s="452"/>
      <c r="N211" s="222"/>
      <c r="O211" s="177"/>
      <c r="P211" s="177"/>
      <c r="Q211" s="222"/>
      <c r="R211" s="222"/>
      <c r="S211" s="222"/>
      <c r="T211" s="222"/>
      <c r="U211" s="222"/>
      <c r="V211" s="222"/>
      <c r="W211" s="202"/>
      <c r="X211" s="452"/>
      <c r="Z211" s="222"/>
      <c r="AA211" s="178"/>
      <c r="AB211" s="178"/>
      <c r="AC211" s="178"/>
      <c r="AD211" s="178"/>
      <c r="AE211" s="560"/>
      <c r="AF211" s="543"/>
      <c r="AH211" s="178"/>
      <c r="AI211" s="178"/>
      <c r="AJ211" s="178"/>
      <c r="AL211" s="560"/>
      <c r="AM211" s="470"/>
      <c r="AR211" s="6"/>
      <c r="AS211" s="6"/>
      <c r="AT211" s="6"/>
      <c r="AU211" s="178"/>
      <c r="AW211" s="6"/>
      <c r="AX211" s="6"/>
      <c r="AY211" s="6"/>
      <c r="AZ211" s="6"/>
      <c r="BA211" s="6"/>
      <c r="BB211" s="6"/>
      <c r="CE211" s="577"/>
      <c r="CF211" s="554">
        <f>MAX(CF110:CF210)</f>
        <v>11.23923398483401</v>
      </c>
    </row>
    <row r="212" spans="5:84" x14ac:dyDescent="0.2">
      <c r="E212" s="175"/>
      <c r="F212" s="222"/>
      <c r="G212" s="222"/>
      <c r="H212" s="222"/>
      <c r="I212" s="222"/>
      <c r="J212" s="556"/>
      <c r="K212" s="452"/>
      <c r="L212" s="452"/>
      <c r="M212" s="452"/>
      <c r="N212" s="222"/>
      <c r="O212" s="177"/>
      <c r="P212" s="177"/>
      <c r="Q212" s="222"/>
      <c r="R212" s="222"/>
      <c r="S212" s="222"/>
      <c r="T212" s="222"/>
      <c r="U212" s="222"/>
      <c r="V212" s="222"/>
      <c r="W212" s="202"/>
      <c r="X212" s="452"/>
      <c r="Z212" s="222"/>
      <c r="AA212" s="178"/>
      <c r="AB212" s="178"/>
      <c r="AC212" s="178"/>
      <c r="AD212" s="178"/>
      <c r="AE212" s="560"/>
      <c r="AF212" s="543"/>
      <c r="AH212" s="178"/>
      <c r="AI212" s="178"/>
      <c r="AJ212" s="178"/>
      <c r="AL212" s="560"/>
      <c r="AM212" s="470"/>
      <c r="AR212" s="6"/>
      <c r="AS212" s="6"/>
      <c r="AT212" s="6"/>
      <c r="AU212" s="178"/>
      <c r="AW212" s="6"/>
      <c r="AX212" s="6"/>
      <c r="AY212" s="6"/>
      <c r="AZ212" s="6"/>
      <c r="BA212" s="6"/>
      <c r="BB212" s="6"/>
      <c r="CE212" s="577"/>
      <c r="CF212" s="554"/>
    </row>
    <row r="213" spans="5:84" x14ac:dyDescent="0.2">
      <c r="E213" s="175"/>
      <c r="F213" s="222"/>
      <c r="G213" s="222"/>
      <c r="H213" s="222"/>
      <c r="I213" s="222"/>
      <c r="J213" s="556"/>
      <c r="K213" s="452"/>
      <c r="L213" s="452"/>
      <c r="M213" s="452"/>
      <c r="N213" s="222"/>
      <c r="O213" s="177"/>
      <c r="P213" s="177"/>
      <c r="Q213" s="222"/>
      <c r="R213" s="222"/>
      <c r="S213" s="222"/>
      <c r="T213" s="222"/>
      <c r="U213" s="222"/>
      <c r="V213" s="222"/>
      <c r="W213" s="202"/>
      <c r="X213" s="452"/>
      <c r="Z213" s="222"/>
      <c r="AA213" s="178"/>
      <c r="AB213" s="178"/>
      <c r="AC213" s="178"/>
      <c r="AD213" s="178"/>
      <c r="AE213" s="560"/>
      <c r="AF213" s="543"/>
      <c r="AH213" s="178"/>
      <c r="AI213" s="178"/>
      <c r="AJ213" s="178"/>
      <c r="AL213" s="560"/>
      <c r="AM213" s="470"/>
      <c r="AR213" s="6"/>
      <c r="AS213" s="6"/>
      <c r="AT213" s="6"/>
      <c r="AU213" s="178"/>
      <c r="AW213" s="6"/>
      <c r="AX213" s="6"/>
      <c r="AY213" s="6"/>
      <c r="AZ213" s="6"/>
      <c r="BA213" s="6"/>
      <c r="BB213" s="6"/>
      <c r="CE213" s="577"/>
      <c r="CF213" s="554"/>
    </row>
    <row r="214" spans="5:84" x14ac:dyDescent="0.2">
      <c r="G214" s="222"/>
      <c r="H214" s="222"/>
      <c r="I214" s="222"/>
      <c r="J214" s="556"/>
      <c r="K214" s="452"/>
      <c r="L214" s="452"/>
      <c r="M214" s="452"/>
      <c r="N214" s="222"/>
      <c r="O214" s="177"/>
      <c r="P214" s="177"/>
      <c r="Q214" s="222"/>
      <c r="R214" s="222"/>
      <c r="S214" s="222"/>
      <c r="T214" s="222"/>
      <c r="U214" s="222"/>
      <c r="V214" s="222"/>
      <c r="W214" s="202"/>
      <c r="X214" s="452"/>
      <c r="Z214" s="222"/>
      <c r="AA214" s="178"/>
      <c r="AB214" s="178"/>
      <c r="AC214" s="178"/>
      <c r="AD214" s="178"/>
      <c r="AE214" s="560"/>
      <c r="AF214" s="543"/>
      <c r="AH214" s="178"/>
      <c r="AI214" s="178"/>
      <c r="AJ214" s="178"/>
      <c r="AL214" s="560"/>
      <c r="AM214" s="470"/>
      <c r="AR214" s="6"/>
      <c r="AS214" s="6"/>
      <c r="AT214" s="6"/>
      <c r="AU214" s="178"/>
      <c r="AW214" s="6"/>
      <c r="AX214" s="6"/>
      <c r="AY214" s="6"/>
      <c r="AZ214" s="6"/>
      <c r="BA214" s="6"/>
      <c r="BB214" s="6"/>
      <c r="CE214" s="577"/>
    </row>
    <row r="215" spans="5:84" x14ac:dyDescent="0.2">
      <c r="G215" s="222"/>
      <c r="H215" s="222"/>
      <c r="I215" s="222"/>
      <c r="J215" s="556"/>
      <c r="K215" s="452"/>
      <c r="L215" s="452"/>
      <c r="M215" s="452"/>
      <c r="N215" s="222"/>
      <c r="O215" s="177"/>
      <c r="P215" s="177"/>
      <c r="Q215" s="222"/>
      <c r="R215" s="222"/>
      <c r="S215" s="222"/>
      <c r="T215" s="222"/>
      <c r="U215" s="222"/>
      <c r="V215" s="222"/>
      <c r="W215" s="202"/>
      <c r="X215" s="452"/>
      <c r="Z215" s="222"/>
      <c r="AA215" s="178"/>
      <c r="AB215" s="178"/>
      <c r="AC215" s="178"/>
      <c r="AD215" s="178"/>
      <c r="AE215" s="560"/>
      <c r="AF215" s="543"/>
      <c r="AH215" s="178"/>
      <c r="AI215" s="178"/>
      <c r="AJ215" s="178"/>
      <c r="AL215" s="560"/>
      <c r="AM215" s="470"/>
      <c r="AR215" s="6"/>
      <c r="AS215" s="6"/>
      <c r="AT215" s="6"/>
      <c r="AU215" s="178"/>
      <c r="AW215" s="6"/>
      <c r="AX215" s="6"/>
      <c r="AY215" s="6"/>
      <c r="AZ215" s="6"/>
      <c r="BA215" s="6"/>
      <c r="BB215" s="6"/>
      <c r="CE215" s="577"/>
    </row>
    <row r="216" spans="5:84" x14ac:dyDescent="0.2">
      <c r="E216" s="454" t="s">
        <v>446</v>
      </c>
      <c r="G216" s="222"/>
      <c r="H216" s="222"/>
      <c r="I216" s="222"/>
      <c r="J216" s="556"/>
      <c r="K216" s="452"/>
      <c r="L216" s="452"/>
      <c r="M216" s="452"/>
      <c r="N216" s="222"/>
      <c r="O216" s="177"/>
      <c r="P216" s="177"/>
      <c r="Q216" s="222"/>
      <c r="R216" s="222"/>
      <c r="S216" s="222"/>
      <c r="T216" s="222"/>
      <c r="U216" s="222"/>
      <c r="V216" s="222"/>
      <c r="W216" s="202"/>
      <c r="X216" s="452"/>
      <c r="Z216" s="222"/>
      <c r="AA216" s="178"/>
      <c r="AB216" s="178"/>
      <c r="AC216" s="178"/>
      <c r="AD216" s="178"/>
      <c r="AE216" s="560"/>
      <c r="AF216" s="543"/>
      <c r="AH216" s="178"/>
      <c r="AI216" s="178"/>
      <c r="AJ216" s="178"/>
      <c r="AL216" s="560"/>
      <c r="AM216" s="470"/>
      <c r="AR216" s="6"/>
      <c r="AS216" s="6"/>
      <c r="AT216" s="6"/>
      <c r="AU216" s="178"/>
      <c r="AW216" s="6"/>
      <c r="AX216" s="6"/>
      <c r="AY216" s="6"/>
      <c r="AZ216" s="6"/>
      <c r="BA216" s="6"/>
      <c r="BB216" s="6"/>
      <c r="CE216" s="577"/>
    </row>
    <row r="217" spans="5:84" ht="45" customHeight="1" thickBot="1" x14ac:dyDescent="0.25">
      <c r="E217" s="246" t="s">
        <v>25</v>
      </c>
      <c r="F217" s="620" t="s">
        <v>597</v>
      </c>
      <c r="G217" s="453" t="s">
        <v>596</v>
      </c>
      <c r="H217" s="621" t="s">
        <v>598</v>
      </c>
      <c r="I217" s="622" t="s">
        <v>599</v>
      </c>
      <c r="J217" s="247" t="s">
        <v>423</v>
      </c>
      <c r="K217" s="248" t="s">
        <v>429</v>
      </c>
      <c r="L217" s="542" t="s">
        <v>424</v>
      </c>
      <c r="M217" s="542"/>
      <c r="N217" s="249" t="s">
        <v>48</v>
      </c>
      <c r="O217" s="624" t="s">
        <v>607</v>
      </c>
      <c r="P217" s="177"/>
      <c r="Q217" s="542" t="s">
        <v>414</v>
      </c>
      <c r="R217" s="624" t="s">
        <v>601</v>
      </c>
      <c r="S217" s="542" t="s">
        <v>444</v>
      </c>
      <c r="T217" s="624" t="s">
        <v>425</v>
      </c>
      <c r="U217" s="542" t="s">
        <v>477</v>
      </c>
      <c r="V217" s="542" t="s">
        <v>476</v>
      </c>
      <c r="W217" s="561" t="s">
        <v>431</v>
      </c>
      <c r="X217" s="557" t="s">
        <v>436</v>
      </c>
      <c r="Z217" s="250" t="s">
        <v>428</v>
      </c>
      <c r="AA217" s="250" t="s">
        <v>475</v>
      </c>
      <c r="AB217" s="178"/>
      <c r="AC217" s="559"/>
      <c r="AD217" s="250" t="s">
        <v>474</v>
      </c>
      <c r="AE217" s="560"/>
      <c r="AF217" s="543"/>
      <c r="AG217" s="559"/>
      <c r="AH217" s="178"/>
      <c r="AI217" s="562" t="s">
        <v>441</v>
      </c>
      <c r="AJ217" s="562" t="s">
        <v>442</v>
      </c>
      <c r="AL217" s="558" t="s">
        <v>276</v>
      </c>
      <c r="AM217" s="558" t="s">
        <v>443</v>
      </c>
      <c r="AO217" s="250" t="s">
        <v>276</v>
      </c>
      <c r="AP217" s="250" t="s">
        <v>443</v>
      </c>
      <c r="AQ217" s="563"/>
      <c r="AR217" s="250" t="s">
        <v>478</v>
      </c>
      <c r="AS217" s="250" t="s">
        <v>472</v>
      </c>
      <c r="AT217" s="250" t="s">
        <v>473</v>
      </c>
      <c r="AU217" s="250" t="s">
        <v>48</v>
      </c>
      <c r="AV217" s="559"/>
      <c r="AW217" s="250" t="s">
        <v>608</v>
      </c>
      <c r="AX217" s="250" t="s">
        <v>721</v>
      </c>
      <c r="AY217" s="250" t="s">
        <v>609</v>
      </c>
      <c r="AZ217" s="250" t="s">
        <v>722</v>
      </c>
      <c r="BA217" s="250" t="s">
        <v>527</v>
      </c>
      <c r="BB217" s="250"/>
      <c r="BC217" s="559"/>
      <c r="BD217" s="572" t="s">
        <v>467</v>
      </c>
      <c r="BE217" s="250" t="s">
        <v>468</v>
      </c>
      <c r="BF217" s="250"/>
      <c r="BG217" s="559"/>
      <c r="BH217" s="572" t="s">
        <v>485</v>
      </c>
      <c r="BI217" s="250" t="s">
        <v>486</v>
      </c>
      <c r="BJ217" s="250" t="s">
        <v>484</v>
      </c>
      <c r="BK217" s="250" t="s">
        <v>480</v>
      </c>
      <c r="BL217" s="250" t="s">
        <v>489</v>
      </c>
      <c r="BM217" s="250" t="s">
        <v>503</v>
      </c>
      <c r="BN217" s="572" t="s">
        <v>487</v>
      </c>
      <c r="BO217" s="250"/>
      <c r="BP217" s="250" t="s">
        <v>488</v>
      </c>
      <c r="BQ217" s="250" t="s">
        <v>495</v>
      </c>
      <c r="BR217" s="250" t="s">
        <v>499</v>
      </c>
      <c r="BS217" s="572" t="s">
        <v>469</v>
      </c>
      <c r="BT217" s="250" t="s">
        <v>470</v>
      </c>
      <c r="BU217" s="250"/>
      <c r="BV217" s="250" t="s">
        <v>479</v>
      </c>
      <c r="BW217" s="250" t="s">
        <v>496</v>
      </c>
      <c r="BX217" s="250" t="s">
        <v>498</v>
      </c>
      <c r="BY217" s="572" t="s">
        <v>494</v>
      </c>
      <c r="BZ217" s="250" t="s">
        <v>224</v>
      </c>
      <c r="CA217" s="250" t="s">
        <v>47</v>
      </c>
      <c r="CB217" s="250" t="s">
        <v>497</v>
      </c>
      <c r="CC217" s="250"/>
      <c r="CE217" s="577"/>
    </row>
    <row r="218" spans="5:84" x14ac:dyDescent="0.2">
      <c r="E218" s="175">
        <v>0.1</v>
      </c>
      <c r="F218" s="222">
        <v>1.0000000000000001E-9</v>
      </c>
      <c r="G218" s="222">
        <f t="shared" ref="G218:G249" si="307">IF(PLOT_TYPE=1, E218/100*Iout2, min_I*EXP(Q218*rr/100))</f>
        <v>5.0000000000000001E-4</v>
      </c>
      <c r="H218" s="222">
        <f t="shared" ref="H218:H249" si="308">F218*Vout</f>
        <v>1.2000000000000002E-8</v>
      </c>
      <c r="I218" s="222">
        <f t="shared" ref="I218:I249" si="309">Vout2*G218</f>
        <v>6.0000000000000001E-3</v>
      </c>
      <c r="J218" s="556">
        <f t="shared" ref="J218:J281" si="310">VIN_max</f>
        <v>42</v>
      </c>
      <c r="K218" s="452">
        <f t="shared" ref="K218:K281" si="311">(S218+Vfwd1)*Nps</f>
        <v>12.25</v>
      </c>
      <c r="L218" s="452">
        <f t="shared" ref="L218:L281" si="312">(Vout+Vfwd1)*Nps+J218</f>
        <v>54.25</v>
      </c>
      <c r="M218" s="452"/>
      <c r="N218" s="222">
        <f t="shared" ref="N218:N281" si="313">(Vout+Vfwd1)*Nps/((Vout+Vfwd1)*Nps+J218)</f>
        <v>0.22580645161290322</v>
      </c>
      <c r="O218" s="177">
        <f t="shared" ref="O218:O249" si="314">N218*J218*Isw_max*0.5*Efficiency*Pout/(Pout+Pout2)</f>
        <v>11.36605459057072</v>
      </c>
      <c r="P218" s="177">
        <f t="shared" ref="P218:P249" si="315">N218*J218*Isw_max*0.5*Efficiency*(Pout2/Pout_total)</f>
        <v>11.543649193548385</v>
      </c>
      <c r="Q218" s="222">
        <f t="shared" ref="Q218:Q281" si="316">O218/Vout</f>
        <v>0.94717121588089326</v>
      </c>
      <c r="R218" s="222">
        <f t="shared" ref="R218:R249" si="317">O218/Vout2</f>
        <v>0.94717121588089326</v>
      </c>
      <c r="S218" s="222">
        <f t="shared" ref="S218:S249" si="318">MIN(Vout,O218/F218)</f>
        <v>12</v>
      </c>
      <c r="T218" s="222">
        <f t="shared" ref="T218:T249" si="319">MIN(2*(Vout*F218+Vout2*G218)/(Efficiency*J218*N218), Isw_max)</f>
        <v>1.3319038453276047E-3</v>
      </c>
      <c r="U218" s="222">
        <f t="shared" ref="U218:U281" si="320">L*T218/J218*1000000</f>
        <v>2.2198397422126747E-4</v>
      </c>
      <c r="V218" s="222">
        <f t="shared" ref="V218:V281" si="321">L*T218/K218*1000000</f>
        <v>7.6108791161577421E-4</v>
      </c>
      <c r="W218" s="202">
        <f t="shared" ref="W218:W281" si="322">IF(1/((350000*L)*(1/J218+1/K218))&gt;Isw_min, 350, 0.001/((Isw_min*L)*(1/J218+1/K218)))</f>
        <v>350</v>
      </c>
      <c r="X218" s="452">
        <f t="shared" ref="X218:X281" si="323">MIN(1/(U218+V218)*1000, 350)</f>
        <v>350</v>
      </c>
      <c r="Z218" s="222">
        <f t="shared" ref="Z218:Z281" si="324">1/((W218*1000*L)*(1/J218+1/K218))</f>
        <v>3.8709677419354835</v>
      </c>
      <c r="AA218" s="178">
        <f t="shared" ref="AA218:AA281" si="325">L*Z218/K218*1000000</f>
        <v>2.2119815668202762</v>
      </c>
      <c r="AB218" s="178">
        <f t="shared" ref="AB218:AB249" si="326">0.5*AA218*Z218*Nps*W218/1000*(Pout/(Pout+Pout2))</f>
        <v>0.92211638517569838</v>
      </c>
      <c r="AC218" s="178"/>
      <c r="AD218" s="178">
        <f t="shared" ref="AD218:AD281" si="327">L*Isw_min/K218*1000000</f>
        <v>0.46857142857142853</v>
      </c>
      <c r="AE218" s="560">
        <f t="shared" ref="AE218:AE249" si="328">MAX(10, F218/(0.5*AD218/1000000*Isw_min*Nps)/1000*Pout_total/Pout)</f>
        <v>10</v>
      </c>
      <c r="AF218" s="543">
        <f t="shared" ref="AF218:AF249" si="329">0.5*AD218/1000000*Isw_min*Nps*W218*1000*(Pout/Pout_total)</f>
        <v>6.723999999999998E-2</v>
      </c>
      <c r="AH218" s="178">
        <f t="shared" ref="AH218:AH249" si="330">SQRT((H218+I218)/(0.5*L*Fsw_DCM))</f>
        <v>6.9985491207762748E-2</v>
      </c>
      <c r="AI218" s="178">
        <f t="shared" ref="AI218:AI249" si="331">MAX(IF(F218&gt;AB218,T218,AH218),Isw_min)</f>
        <v>0.82</v>
      </c>
      <c r="AJ218" s="178">
        <f t="shared" ref="AJ218:AJ249" si="332">IF(F218&gt;AF218, (AI218-Isw_min)/1.08*0.8+1.2, AE218*0.2/350+1)</f>
        <v>1.0057142857142858</v>
      </c>
      <c r="AL218" s="560">
        <f t="shared" ref="AL218:AL249" si="333">F218*1000</f>
        <v>1.0000000000000002E-6</v>
      </c>
      <c r="AM218" s="470">
        <f t="shared" ref="AM218:AM249" si="334">IF(F218&gt;AF218, X218, AE218)</f>
        <v>10</v>
      </c>
      <c r="AO218">
        <f t="shared" ref="AO218:AO281" si="335">IF(H218&gt;O218, "",AL218)</f>
        <v>1.0000000000000002E-6</v>
      </c>
      <c r="AP218">
        <f t="shared" ref="AP218:AP281" si="336">IF(H218&gt;O218, "",AM218)</f>
        <v>10</v>
      </c>
      <c r="AR218" s="6">
        <f t="shared" si="300"/>
        <v>100</v>
      </c>
      <c r="AS218" s="6">
        <f t="shared" si="291"/>
        <v>0.13666666666666666</v>
      </c>
      <c r="AT218" s="6">
        <f t="shared" si="292"/>
        <v>99.86333333333333</v>
      </c>
      <c r="AU218" s="178">
        <f t="shared" si="293"/>
        <v>1.3666666666666666E-3</v>
      </c>
      <c r="AW218" s="6">
        <f>L*Iout^2/(2*Vripple1_spec*Vout*Npri_sec1^2)*1000000000*((1+N218)/(1-N218))^2</f>
        <v>3.8996913580246928</v>
      </c>
      <c r="AX218" s="6">
        <f>L*F218^2/(2*Cout*Vout*Nps^2)*1000000000*((1+N218)/(1-N218))^2+F218*RCoutEsr</f>
        <v>3.0000000155572796E-9</v>
      </c>
      <c r="AY218" s="6">
        <f>L*Iout2^2/(2*Vout_ripple2*Vout2*Npri_sec2^2)*1000000000*((1+N218)/(1-N218))^2</f>
        <v>1.5233169367283956</v>
      </c>
      <c r="AZ218" s="6">
        <f>L*G218^2/(2*Cout2*Vout2*Npri_sec2^2)*1000000000*((1+N218)/(1-N218))^2+G218*CoutEsr2</f>
        <v>1.5038893198384554E-3</v>
      </c>
      <c r="BA218" s="6">
        <f>(H218+I218)/Efficiency/J218*AT218/Vinripple1</f>
        <v>2.2247515023113333E-2</v>
      </c>
      <c r="BB218" s="6"/>
      <c r="CE218" s="577">
        <f t="shared" ref="CE218:CE249" si="337">IF(ABS(F218-Ioutmax_Vinmax)&lt;Iout/200, AM218, -50)</f>
        <v>-50</v>
      </c>
    </row>
    <row r="219" spans="5:84" x14ac:dyDescent="0.2">
      <c r="E219" s="175">
        <v>1</v>
      </c>
      <c r="F219" s="222">
        <f t="shared" ref="F219:F250" si="338">IF(PLOT_TYPE=1, E219/100*Iout_max, min_I*EXP(O219*rr/100))</f>
        <v>8.0000000000000002E-3</v>
      </c>
      <c r="G219" s="222">
        <f t="shared" si="307"/>
        <v>5.0000000000000001E-3</v>
      </c>
      <c r="H219" s="222">
        <f t="shared" si="308"/>
        <v>9.6000000000000002E-2</v>
      </c>
      <c r="I219" s="222">
        <f t="shared" si="309"/>
        <v>0.06</v>
      </c>
      <c r="J219" s="556">
        <f t="shared" si="310"/>
        <v>42</v>
      </c>
      <c r="K219" s="452">
        <f t="shared" si="311"/>
        <v>12.25</v>
      </c>
      <c r="L219" s="452">
        <f t="shared" si="312"/>
        <v>54.25</v>
      </c>
      <c r="M219" s="452"/>
      <c r="N219" s="222">
        <f t="shared" si="313"/>
        <v>0.22580645161290322</v>
      </c>
      <c r="O219" s="177">
        <f t="shared" si="314"/>
        <v>11.36605459057072</v>
      </c>
      <c r="P219" s="177">
        <f t="shared" si="315"/>
        <v>11.543649193548385</v>
      </c>
      <c r="Q219" s="222">
        <f t="shared" si="316"/>
        <v>0.94717121588089326</v>
      </c>
      <c r="R219" s="222">
        <f t="shared" si="317"/>
        <v>0.94717121588089326</v>
      </c>
      <c r="S219" s="222">
        <f t="shared" si="318"/>
        <v>12</v>
      </c>
      <c r="T219" s="222">
        <f t="shared" si="319"/>
        <v>3.4629430719656282E-2</v>
      </c>
      <c r="U219" s="222">
        <f t="shared" si="320"/>
        <v>5.7715717866093806E-3</v>
      </c>
      <c r="V219" s="222">
        <f t="shared" si="321"/>
        <v>1.9788246125517876E-2</v>
      </c>
      <c r="W219" s="202">
        <f t="shared" si="322"/>
        <v>350</v>
      </c>
      <c r="X219" s="452">
        <f t="shared" si="323"/>
        <v>350</v>
      </c>
      <c r="Z219" s="222">
        <f t="shared" si="324"/>
        <v>3.8709677419354835</v>
      </c>
      <c r="AA219" s="178">
        <f t="shared" si="325"/>
        <v>2.2119815668202762</v>
      </c>
      <c r="AB219" s="178">
        <f t="shared" si="326"/>
        <v>0.92211638517569838</v>
      </c>
      <c r="AC219" s="178"/>
      <c r="AD219" s="178">
        <f t="shared" si="327"/>
        <v>0.46857142857142853</v>
      </c>
      <c r="AE219" s="560">
        <f t="shared" si="328"/>
        <v>41.64187983343249</v>
      </c>
      <c r="AF219" s="543">
        <f t="shared" si="329"/>
        <v>6.723999999999998E-2</v>
      </c>
      <c r="AH219" s="178">
        <f t="shared" si="330"/>
        <v>0.35685702847990847</v>
      </c>
      <c r="AI219" s="178">
        <f t="shared" si="331"/>
        <v>0.82</v>
      </c>
      <c r="AJ219" s="178">
        <f t="shared" si="332"/>
        <v>1.0237953599048186</v>
      </c>
      <c r="AL219" s="560">
        <f t="shared" si="333"/>
        <v>8</v>
      </c>
      <c r="AM219" s="470">
        <f t="shared" si="334"/>
        <v>41.64187983343249</v>
      </c>
      <c r="AO219">
        <f t="shared" si="335"/>
        <v>8</v>
      </c>
      <c r="AP219">
        <f t="shared" si="336"/>
        <v>41.64187983343249</v>
      </c>
      <c r="AR219" s="6">
        <f t="shared" si="300"/>
        <v>24.014285714285709</v>
      </c>
      <c r="AS219" s="6">
        <f t="shared" si="291"/>
        <v>0.13666666666666666</v>
      </c>
      <c r="AT219" s="6">
        <f t="shared" si="292"/>
        <v>23.877619047619042</v>
      </c>
      <c r="AU219" s="178">
        <f t="shared" si="293"/>
        <v>5.691056910569107E-3</v>
      </c>
      <c r="AW219" s="6">
        <f>L*Iout^2/(2*Vripple1_spec*Vout*Npri_sec1^2)*1000000000*((1+N219)/(1-N219))^2</f>
        <v>3.8996913580246928</v>
      </c>
      <c r="AX219" s="6">
        <f>L*F219^2/(2*Cout*Vout*Nps^2)*1000000000*((1+N219)/(1-N219))^2+F219*RCoutEsr</f>
        <v>2.4995665878644602E-2</v>
      </c>
      <c r="AY219" s="6">
        <f>L*Iout2^2/(2*Vout_ripple2*Vout2*Npri_sec2^2)*1000000000*((1+N219)/(1-N219))^2</f>
        <v>1.5233169367283956</v>
      </c>
      <c r="AZ219" s="6">
        <f>L*G219^2/(2*Cout2*Vout2*Npri_sec2^2)*1000000000*((1+N219)/(1-N219))^2+G219*CoutEsr2</f>
        <v>1.5388931983845546E-2</v>
      </c>
      <c r="BA219" s="6">
        <f>(H219+I219)/Efficiency/J219*AT219/Vinripple1</f>
        <v>0.13830534006975109</v>
      </c>
      <c r="BB219" s="6"/>
      <c r="CE219" s="577">
        <f t="shared" si="337"/>
        <v>-50</v>
      </c>
    </row>
    <row r="220" spans="5:84" x14ac:dyDescent="0.2">
      <c r="E220" s="175">
        <v>2</v>
      </c>
      <c r="F220" s="222">
        <f t="shared" si="338"/>
        <v>1.6E-2</v>
      </c>
      <c r="G220" s="222">
        <f t="shared" si="307"/>
        <v>0.01</v>
      </c>
      <c r="H220" s="222">
        <f t="shared" si="308"/>
        <v>0.192</v>
      </c>
      <c r="I220" s="222">
        <f t="shared" si="309"/>
        <v>0.12</v>
      </c>
      <c r="J220" s="556">
        <f t="shared" si="310"/>
        <v>42</v>
      </c>
      <c r="K220" s="452">
        <f t="shared" si="311"/>
        <v>12.25</v>
      </c>
      <c r="L220" s="452">
        <f t="shared" si="312"/>
        <v>54.25</v>
      </c>
      <c r="M220" s="452"/>
      <c r="N220" s="222">
        <f t="shared" si="313"/>
        <v>0.22580645161290322</v>
      </c>
      <c r="O220" s="177">
        <f t="shared" si="314"/>
        <v>11.36605459057072</v>
      </c>
      <c r="P220" s="177">
        <f t="shared" si="315"/>
        <v>11.543649193548385</v>
      </c>
      <c r="Q220" s="222">
        <f t="shared" si="316"/>
        <v>0.94717121588089326</v>
      </c>
      <c r="R220" s="222">
        <f t="shared" si="317"/>
        <v>0.94717121588089326</v>
      </c>
      <c r="S220" s="222">
        <f t="shared" si="318"/>
        <v>12</v>
      </c>
      <c r="T220" s="222">
        <f t="shared" si="319"/>
        <v>6.9258861439312563E-2</v>
      </c>
      <c r="U220" s="222">
        <f t="shared" si="320"/>
        <v>1.1543143573218761E-2</v>
      </c>
      <c r="V220" s="222">
        <f t="shared" si="321"/>
        <v>3.9576492251035753E-2</v>
      </c>
      <c r="W220" s="202">
        <f t="shared" si="322"/>
        <v>350</v>
      </c>
      <c r="X220" s="452">
        <f t="shared" si="323"/>
        <v>350</v>
      </c>
      <c r="Z220" s="222">
        <f t="shared" si="324"/>
        <v>3.8709677419354835</v>
      </c>
      <c r="AA220" s="178">
        <f t="shared" si="325"/>
        <v>2.2119815668202762</v>
      </c>
      <c r="AB220" s="178">
        <f t="shared" si="326"/>
        <v>0.92211638517569838</v>
      </c>
      <c r="AC220" s="178"/>
      <c r="AD220" s="178">
        <f t="shared" si="327"/>
        <v>0.46857142857142853</v>
      </c>
      <c r="AE220" s="560">
        <f t="shared" si="328"/>
        <v>83.283759666864981</v>
      </c>
      <c r="AF220" s="543">
        <f t="shared" si="329"/>
        <v>6.723999999999998E-2</v>
      </c>
      <c r="AH220" s="178">
        <f t="shared" si="330"/>
        <v>0.50467204950444844</v>
      </c>
      <c r="AI220" s="178">
        <f t="shared" si="331"/>
        <v>0.82</v>
      </c>
      <c r="AJ220" s="178">
        <f t="shared" si="332"/>
        <v>1.0475907198096372</v>
      </c>
      <c r="AL220" s="560">
        <f t="shared" si="333"/>
        <v>16</v>
      </c>
      <c r="AM220" s="470">
        <f t="shared" si="334"/>
        <v>83.283759666864981</v>
      </c>
      <c r="AO220">
        <f t="shared" si="335"/>
        <v>16</v>
      </c>
      <c r="AP220">
        <f t="shared" si="336"/>
        <v>83.283759666864981</v>
      </c>
      <c r="AR220" s="6">
        <f t="shared" si="300"/>
        <v>12.007142857142854</v>
      </c>
      <c r="AS220" s="6">
        <f t="shared" si="291"/>
        <v>0.13666666666666666</v>
      </c>
      <c r="AT220" s="6">
        <f t="shared" si="292"/>
        <v>11.870476190476188</v>
      </c>
      <c r="AU220" s="178">
        <f t="shared" si="293"/>
        <v>1.1382113821138214E-2</v>
      </c>
      <c r="AW220" s="6">
        <f>L*Iout^2/(2*Vripple1_spec*Vout*Npri_sec1^2)*1000000000*((1+N220)/(1-N220))^2</f>
        <v>3.8996913580246928</v>
      </c>
      <c r="AX220" s="6">
        <f>L*F220^2/(2*Cout*Vout*Nps^2)*1000000000*((1+N220)/(1-N220))^2+F220*RCoutEsr</f>
        <v>5.1982663514578413E-2</v>
      </c>
      <c r="AY220" s="6">
        <f>L*Iout2^2/(2*Vout_ripple2*Vout2*Npri_sec2^2)*1000000000*((1+N220)/(1-N220))^2</f>
        <v>1.5233169367283956</v>
      </c>
      <c r="AZ220" s="6">
        <f>L*G220^2/(2*Cout2*Vout2*Npri_sec2^2)*1000000000*((1+N220)/(1-N220))^2+G220*CoutEsr2</f>
        <v>3.1555727935382187E-2</v>
      </c>
      <c r="BA220" s="6">
        <f>(H220+I220)/Efficiency/J220*AT220/Vinripple1</f>
        <v>0.1375137314184933</v>
      </c>
      <c r="BB220" s="6"/>
      <c r="CE220" s="577">
        <f t="shared" si="337"/>
        <v>-50</v>
      </c>
    </row>
    <row r="221" spans="5:84" x14ac:dyDescent="0.2">
      <c r="E221" s="175">
        <v>3</v>
      </c>
      <c r="F221" s="222">
        <f t="shared" si="338"/>
        <v>2.4E-2</v>
      </c>
      <c r="G221" s="222">
        <f t="shared" si="307"/>
        <v>1.4999999999999999E-2</v>
      </c>
      <c r="H221" s="222">
        <f t="shared" si="308"/>
        <v>0.28800000000000003</v>
      </c>
      <c r="I221" s="222">
        <f t="shared" si="309"/>
        <v>0.18</v>
      </c>
      <c r="J221" s="556">
        <f t="shared" si="310"/>
        <v>42</v>
      </c>
      <c r="K221" s="452">
        <f t="shared" si="311"/>
        <v>12.25</v>
      </c>
      <c r="L221" s="452">
        <f t="shared" si="312"/>
        <v>54.25</v>
      </c>
      <c r="M221" s="452"/>
      <c r="N221" s="222">
        <f t="shared" si="313"/>
        <v>0.22580645161290322</v>
      </c>
      <c r="O221" s="177">
        <f t="shared" si="314"/>
        <v>11.36605459057072</v>
      </c>
      <c r="P221" s="177">
        <f t="shared" si="315"/>
        <v>11.543649193548385</v>
      </c>
      <c r="Q221" s="222">
        <f t="shared" si="316"/>
        <v>0.94717121588089326</v>
      </c>
      <c r="R221" s="222">
        <f t="shared" si="317"/>
        <v>0.94717121588089326</v>
      </c>
      <c r="S221" s="222">
        <f t="shared" si="318"/>
        <v>12</v>
      </c>
      <c r="T221" s="222">
        <f t="shared" si="319"/>
        <v>0.10388829215896886</v>
      </c>
      <c r="U221" s="222">
        <f t="shared" si="320"/>
        <v>1.7314715359828144E-2</v>
      </c>
      <c r="V221" s="222">
        <f t="shared" si="321"/>
        <v>5.9364738376553636E-2</v>
      </c>
      <c r="W221" s="202">
        <f t="shared" si="322"/>
        <v>350</v>
      </c>
      <c r="X221" s="452">
        <f t="shared" si="323"/>
        <v>350</v>
      </c>
      <c r="Z221" s="222">
        <f t="shared" si="324"/>
        <v>3.8709677419354835</v>
      </c>
      <c r="AA221" s="178">
        <f t="shared" si="325"/>
        <v>2.2119815668202762</v>
      </c>
      <c r="AB221" s="178">
        <f t="shared" si="326"/>
        <v>0.92211638517569838</v>
      </c>
      <c r="AC221" s="178"/>
      <c r="AD221" s="178">
        <f t="shared" si="327"/>
        <v>0.46857142857142853</v>
      </c>
      <c r="AE221" s="560">
        <f t="shared" si="328"/>
        <v>124.92563950029748</v>
      </c>
      <c r="AF221" s="543">
        <f t="shared" si="329"/>
        <v>6.723999999999998E-2</v>
      </c>
      <c r="AH221" s="178">
        <f t="shared" si="330"/>
        <v>0.61809450436525526</v>
      </c>
      <c r="AI221" s="178">
        <f t="shared" si="331"/>
        <v>0.82</v>
      </c>
      <c r="AJ221" s="178">
        <f t="shared" si="332"/>
        <v>1.0713860797144557</v>
      </c>
      <c r="AL221" s="560">
        <f t="shared" si="333"/>
        <v>24</v>
      </c>
      <c r="AM221" s="470">
        <f t="shared" si="334"/>
        <v>124.92563950029748</v>
      </c>
      <c r="AO221">
        <f t="shared" si="335"/>
        <v>24</v>
      </c>
      <c r="AP221">
        <f t="shared" si="336"/>
        <v>124.92563950029748</v>
      </c>
      <c r="AR221" s="6">
        <f t="shared" si="300"/>
        <v>8.0047619047619012</v>
      </c>
      <c r="AS221" s="6">
        <f t="shared" si="291"/>
        <v>0.13666666666666666</v>
      </c>
      <c r="AT221" s="6">
        <f t="shared" si="292"/>
        <v>7.8680952380952345</v>
      </c>
      <c r="AU221" s="178">
        <f t="shared" si="293"/>
        <v>1.7073170731707325E-2</v>
      </c>
      <c r="AW221" s="6">
        <f>L*Iout^2/(2*Vripple1_spec*Vout*Npri_sec1^2)*1000000000*((1+N221)/(1-N221))^2</f>
        <v>3.8996913580246928</v>
      </c>
      <c r="AX221" s="6">
        <f>L*F221^2/(2*Cout*Vout*Nps^2)*1000000000*((1+N221)/(1-N221))^2+F221*RCoutEsr</f>
        <v>8.0960992907801427E-2</v>
      </c>
      <c r="AY221" s="6">
        <f>L*Iout2^2/(2*Vout_ripple2*Vout2*Npri_sec2^2)*1000000000*((1+N221)/(1-N221))^2</f>
        <v>1.5233169367283956</v>
      </c>
      <c r="AZ221" s="6">
        <f>L*G221^2/(2*Cout2*Vout2*Npri_sec2^2)*1000000000*((1+N221)/(1-N221))^2+G221*CoutEsr2</f>
        <v>4.850038785460993E-2</v>
      </c>
      <c r="BA221" s="6">
        <f>(H221+I221)/Efficiency/J221*AT221/Vinripple1</f>
        <v>0.1367221227672355</v>
      </c>
      <c r="BB221" s="6"/>
      <c r="CE221" s="577">
        <f t="shared" si="337"/>
        <v>-50</v>
      </c>
    </row>
    <row r="222" spans="5:84" x14ac:dyDescent="0.2">
      <c r="E222" s="175">
        <v>4</v>
      </c>
      <c r="F222" s="222">
        <f t="shared" si="338"/>
        <v>3.2000000000000001E-2</v>
      </c>
      <c r="G222" s="222">
        <f t="shared" si="307"/>
        <v>0.02</v>
      </c>
      <c r="H222" s="222">
        <f t="shared" si="308"/>
        <v>0.38400000000000001</v>
      </c>
      <c r="I222" s="222">
        <f t="shared" si="309"/>
        <v>0.24</v>
      </c>
      <c r="J222" s="556">
        <f t="shared" si="310"/>
        <v>42</v>
      </c>
      <c r="K222" s="452">
        <f t="shared" si="311"/>
        <v>12.25</v>
      </c>
      <c r="L222" s="452">
        <f t="shared" si="312"/>
        <v>54.25</v>
      </c>
      <c r="M222" s="452"/>
      <c r="N222" s="222">
        <f t="shared" si="313"/>
        <v>0.22580645161290322</v>
      </c>
      <c r="O222" s="177">
        <f t="shared" si="314"/>
        <v>11.36605459057072</v>
      </c>
      <c r="P222" s="177">
        <f t="shared" si="315"/>
        <v>11.543649193548385</v>
      </c>
      <c r="Q222" s="222">
        <f t="shared" si="316"/>
        <v>0.94717121588089326</v>
      </c>
      <c r="R222" s="222">
        <f t="shared" si="317"/>
        <v>0.94717121588089326</v>
      </c>
      <c r="S222" s="222">
        <f t="shared" si="318"/>
        <v>12</v>
      </c>
      <c r="T222" s="222">
        <f t="shared" si="319"/>
        <v>0.13851772287862513</v>
      </c>
      <c r="U222" s="222">
        <f t="shared" si="320"/>
        <v>2.3086287146437522E-2</v>
      </c>
      <c r="V222" s="222">
        <f t="shared" si="321"/>
        <v>7.9152984502071505E-2</v>
      </c>
      <c r="W222" s="202">
        <f t="shared" si="322"/>
        <v>350</v>
      </c>
      <c r="X222" s="452">
        <f t="shared" si="323"/>
        <v>350</v>
      </c>
      <c r="Z222" s="222">
        <f t="shared" si="324"/>
        <v>3.8709677419354835</v>
      </c>
      <c r="AA222" s="178">
        <f t="shared" si="325"/>
        <v>2.2119815668202762</v>
      </c>
      <c r="AB222" s="178">
        <f t="shared" si="326"/>
        <v>0.92211638517569838</v>
      </c>
      <c r="AC222" s="178"/>
      <c r="AD222" s="178">
        <f t="shared" si="327"/>
        <v>0.46857142857142853</v>
      </c>
      <c r="AE222" s="560">
        <f t="shared" si="328"/>
        <v>166.56751933372996</v>
      </c>
      <c r="AF222" s="543">
        <f t="shared" si="329"/>
        <v>6.723999999999998E-2</v>
      </c>
      <c r="AH222" s="178">
        <f t="shared" si="330"/>
        <v>0.71371405695981693</v>
      </c>
      <c r="AI222" s="178">
        <f t="shared" si="331"/>
        <v>0.82</v>
      </c>
      <c r="AJ222" s="178">
        <f t="shared" si="332"/>
        <v>1.0951814396192743</v>
      </c>
      <c r="AL222" s="560">
        <f t="shared" si="333"/>
        <v>32</v>
      </c>
      <c r="AM222" s="470">
        <f t="shared" si="334"/>
        <v>166.56751933372996</v>
      </c>
      <c r="AO222">
        <f t="shared" si="335"/>
        <v>32</v>
      </c>
      <c r="AP222">
        <f t="shared" si="336"/>
        <v>166.56751933372996</v>
      </c>
      <c r="AR222" s="6">
        <f t="shared" si="300"/>
        <v>6.0035714285714272</v>
      </c>
      <c r="AS222" s="6">
        <f t="shared" si="291"/>
        <v>0.13666666666666666</v>
      </c>
      <c r="AT222" s="6">
        <f t="shared" si="292"/>
        <v>5.8669047619047605</v>
      </c>
      <c r="AU222" s="178">
        <f t="shared" si="293"/>
        <v>2.2764227642276428E-2</v>
      </c>
      <c r="AW222" s="6">
        <f>L*Iout^2/(2*Vripple1_spec*Vout*Npri_sec1^2)*1000000000*((1+N222)/(1-N222))^2</f>
        <v>3.8996913580246928</v>
      </c>
      <c r="AX222" s="6">
        <f>L*F222^2/(2*Cout*Vout*Nps^2)*1000000000*((1+N222)/(1-N222))^2+F222*RCoutEsr</f>
        <v>0.11193065405831364</v>
      </c>
      <c r="AY222" s="6">
        <f>L*Iout2^2/(2*Vout_ripple2*Vout2*Npri_sec2^2)*1000000000*((1+N222)/(1-N222))^2</f>
        <v>1.5233169367283956</v>
      </c>
      <c r="AZ222" s="6">
        <f>L*G222^2/(2*Cout2*Vout2*Npri_sec2^2)*1000000000*((1+N222)/(1-N222))^2+G222*CoutEsr2</f>
        <v>6.6222911741528764E-2</v>
      </c>
      <c r="BA222" s="6">
        <f>(H222+I222)/Efficiency/J222*AT222/Vinripple1</f>
        <v>0.13593051411597776</v>
      </c>
      <c r="BB222" s="6"/>
      <c r="CE222" s="577">
        <f t="shared" si="337"/>
        <v>-50</v>
      </c>
    </row>
    <row r="223" spans="5:84" x14ac:dyDescent="0.2">
      <c r="E223" s="175">
        <v>5</v>
      </c>
      <c r="F223" s="222">
        <f t="shared" si="338"/>
        <v>4.0000000000000008E-2</v>
      </c>
      <c r="G223" s="222">
        <f t="shared" si="307"/>
        <v>2.5000000000000001E-2</v>
      </c>
      <c r="H223" s="222">
        <f t="shared" si="308"/>
        <v>0.48000000000000009</v>
      </c>
      <c r="I223" s="222">
        <f t="shared" si="309"/>
        <v>0.30000000000000004</v>
      </c>
      <c r="J223" s="556">
        <f t="shared" si="310"/>
        <v>42</v>
      </c>
      <c r="K223" s="452">
        <f t="shared" si="311"/>
        <v>12.25</v>
      </c>
      <c r="L223" s="452">
        <f t="shared" si="312"/>
        <v>54.25</v>
      </c>
      <c r="M223" s="452"/>
      <c r="N223" s="222">
        <f t="shared" si="313"/>
        <v>0.22580645161290322</v>
      </c>
      <c r="O223" s="177">
        <f t="shared" si="314"/>
        <v>11.36605459057072</v>
      </c>
      <c r="P223" s="177">
        <f t="shared" si="315"/>
        <v>11.543649193548385</v>
      </c>
      <c r="Q223" s="222">
        <f t="shared" si="316"/>
        <v>0.94717121588089326</v>
      </c>
      <c r="R223" s="222">
        <f t="shared" si="317"/>
        <v>0.94717121588089326</v>
      </c>
      <c r="S223" s="222">
        <f t="shared" si="318"/>
        <v>12</v>
      </c>
      <c r="T223" s="222">
        <f t="shared" si="319"/>
        <v>0.17314715359828145</v>
      </c>
      <c r="U223" s="222">
        <f t="shared" si="320"/>
        <v>2.8857858933046907E-2</v>
      </c>
      <c r="V223" s="222">
        <f t="shared" si="321"/>
        <v>9.8941230627589388E-2</v>
      </c>
      <c r="W223" s="202">
        <f t="shared" si="322"/>
        <v>350</v>
      </c>
      <c r="X223" s="452">
        <f t="shared" si="323"/>
        <v>350</v>
      </c>
      <c r="Z223" s="222">
        <f t="shared" si="324"/>
        <v>3.8709677419354835</v>
      </c>
      <c r="AA223" s="178">
        <f t="shared" si="325"/>
        <v>2.2119815668202762</v>
      </c>
      <c r="AB223" s="178">
        <f t="shared" si="326"/>
        <v>0.92211638517569838</v>
      </c>
      <c r="AC223" s="178"/>
      <c r="AD223" s="178">
        <f t="shared" si="327"/>
        <v>0.46857142857142853</v>
      </c>
      <c r="AE223" s="560">
        <f t="shared" si="328"/>
        <v>208.20939916716247</v>
      </c>
      <c r="AF223" s="543">
        <f t="shared" si="329"/>
        <v>6.723999999999998E-2</v>
      </c>
      <c r="AH223" s="178">
        <f t="shared" si="330"/>
        <v>0.7979565739296538</v>
      </c>
      <c r="AI223" s="178">
        <f t="shared" si="331"/>
        <v>0.82</v>
      </c>
      <c r="AJ223" s="178">
        <f t="shared" si="332"/>
        <v>1.1189767995240929</v>
      </c>
      <c r="AL223" s="560">
        <f t="shared" si="333"/>
        <v>40.000000000000007</v>
      </c>
      <c r="AM223" s="470">
        <f t="shared" si="334"/>
        <v>208.20939916716247</v>
      </c>
      <c r="AO223">
        <f t="shared" si="335"/>
        <v>40.000000000000007</v>
      </c>
      <c r="AP223">
        <f t="shared" si="336"/>
        <v>208.20939916716247</v>
      </c>
      <c r="AR223" s="6">
        <f t="shared" si="300"/>
        <v>4.8028571428571407</v>
      </c>
      <c r="AS223" s="6">
        <f t="shared" si="291"/>
        <v>0.13666666666666666</v>
      </c>
      <c r="AT223" s="6">
        <f t="shared" si="292"/>
        <v>4.666190476190474</v>
      </c>
      <c r="AU223" s="178">
        <f t="shared" si="293"/>
        <v>2.8455284552845541E-2</v>
      </c>
      <c r="AW223" s="6">
        <f>L*Iout^2/(2*Vripple1_spec*Vout*Npri_sec1^2)*1000000000*((1+N223)/(1-N223))^2</f>
        <v>3.8996913580246928</v>
      </c>
      <c r="AX223" s="6">
        <f>L*F223^2/(2*Cout*Vout*Nps^2)*1000000000*((1+N223)/(1-N223))^2+F223*RCoutEsr</f>
        <v>0.14489164696611509</v>
      </c>
      <c r="AY223" s="6">
        <f>L*Iout2^2/(2*Vout_ripple2*Vout2*Npri_sec2^2)*1000000000*((1+N223)/(1-N223))^2</f>
        <v>1.5233169367283956</v>
      </c>
      <c r="AZ223" s="6">
        <f>L*G223^2/(2*Cout2*Vout2*Npri_sec2^2)*1000000000*((1+N223)/(1-N223))^2+G223*CoutEsr2</f>
        <v>8.472329959613871E-2</v>
      </c>
      <c r="BA223" s="6">
        <f>(H223+I223)/Efficiency/J223*AT223/Vinripple1</f>
        <v>0.13513890546471996</v>
      </c>
      <c r="BB223" s="6"/>
      <c r="CE223" s="577">
        <f t="shared" si="337"/>
        <v>-50</v>
      </c>
    </row>
    <row r="224" spans="5:84" x14ac:dyDescent="0.2">
      <c r="E224" s="175">
        <v>6</v>
      </c>
      <c r="F224" s="222">
        <f t="shared" si="338"/>
        <v>4.8000000000000001E-2</v>
      </c>
      <c r="G224" s="222">
        <f t="shared" si="307"/>
        <v>0.03</v>
      </c>
      <c r="H224" s="222">
        <f t="shared" si="308"/>
        <v>0.57600000000000007</v>
      </c>
      <c r="I224" s="222">
        <f t="shared" si="309"/>
        <v>0.36</v>
      </c>
      <c r="J224" s="556">
        <f t="shared" si="310"/>
        <v>42</v>
      </c>
      <c r="K224" s="452">
        <f t="shared" si="311"/>
        <v>12.25</v>
      </c>
      <c r="L224" s="452">
        <f t="shared" si="312"/>
        <v>54.25</v>
      </c>
      <c r="M224" s="452"/>
      <c r="N224" s="222">
        <f t="shared" si="313"/>
        <v>0.22580645161290322</v>
      </c>
      <c r="O224" s="177">
        <f t="shared" si="314"/>
        <v>11.36605459057072</v>
      </c>
      <c r="P224" s="177">
        <f t="shared" si="315"/>
        <v>11.543649193548385</v>
      </c>
      <c r="Q224" s="222">
        <f t="shared" si="316"/>
        <v>0.94717121588089326</v>
      </c>
      <c r="R224" s="222">
        <f t="shared" si="317"/>
        <v>0.94717121588089326</v>
      </c>
      <c r="S224" s="222">
        <f t="shared" si="318"/>
        <v>12</v>
      </c>
      <c r="T224" s="222">
        <f t="shared" si="319"/>
        <v>0.20777658431793772</v>
      </c>
      <c r="U224" s="222">
        <f t="shared" si="320"/>
        <v>3.4629430719656289E-2</v>
      </c>
      <c r="V224" s="222">
        <f t="shared" si="321"/>
        <v>0.11872947675310727</v>
      </c>
      <c r="W224" s="202">
        <f t="shared" si="322"/>
        <v>350</v>
      </c>
      <c r="X224" s="452">
        <f t="shared" si="323"/>
        <v>350</v>
      </c>
      <c r="Z224" s="222">
        <f t="shared" si="324"/>
        <v>3.8709677419354835</v>
      </c>
      <c r="AA224" s="178">
        <f t="shared" si="325"/>
        <v>2.2119815668202762</v>
      </c>
      <c r="AB224" s="178">
        <f t="shared" si="326"/>
        <v>0.92211638517569838</v>
      </c>
      <c r="AC224" s="178"/>
      <c r="AD224" s="178">
        <f t="shared" si="327"/>
        <v>0.46857142857142853</v>
      </c>
      <c r="AE224" s="560">
        <f t="shared" si="328"/>
        <v>249.85127900059496</v>
      </c>
      <c r="AF224" s="543">
        <f t="shared" si="329"/>
        <v>6.723999999999998E-2</v>
      </c>
      <c r="AH224" s="178">
        <f t="shared" si="330"/>
        <v>0.8741176309016202</v>
      </c>
      <c r="AI224" s="178">
        <f t="shared" si="331"/>
        <v>0.8741176309016202</v>
      </c>
      <c r="AJ224" s="178">
        <f t="shared" si="332"/>
        <v>1.1427721594289113</v>
      </c>
      <c r="AL224" s="560">
        <f t="shared" si="333"/>
        <v>48</v>
      </c>
      <c r="AM224" s="470">
        <f t="shared" si="334"/>
        <v>249.85127900059496</v>
      </c>
      <c r="AO224">
        <f t="shared" si="335"/>
        <v>48</v>
      </c>
      <c r="AP224">
        <f t="shared" si="336"/>
        <v>249.85127900059496</v>
      </c>
      <c r="AR224" s="6">
        <f t="shared" si="300"/>
        <v>4.0023809523809506</v>
      </c>
      <c r="AS224" s="6">
        <f t="shared" si="291"/>
        <v>0.14568627181693669</v>
      </c>
      <c r="AT224" s="6">
        <f t="shared" si="292"/>
        <v>3.8566946805640141</v>
      </c>
      <c r="AU224" s="178">
        <f t="shared" si="293"/>
        <v>3.6399901346289967E-2</v>
      </c>
      <c r="AW224" s="6">
        <f>L*Iout^2/(2*Vripple1_spec*Vout*Npri_sec1^2)*1000000000*((1+N224)/(1-N224))^2</f>
        <v>3.8996913580246928</v>
      </c>
      <c r="AX224" s="6">
        <f>L*F224^2/(2*Cout*Vout*Nps^2)*1000000000*((1+N224)/(1-N224))^2+F224*RCoutEsr</f>
        <v>0.17984397163120569</v>
      </c>
      <c r="AY224" s="6">
        <f>L*Iout2^2/(2*Vout_ripple2*Vout2*Npri_sec2^2)*1000000000*((1+N224)/(1-N224))^2</f>
        <v>1.5233169367283956</v>
      </c>
      <c r="AZ224" s="6">
        <f>L*G224^2/(2*Cout2*Vout2*Npri_sec2^2)*1000000000*((1+N224)/(1-N224))^2+G224*CoutEsr2</f>
        <v>0.10400155141843971</v>
      </c>
      <c r="BA224" s="6">
        <f>(H224+I224)/Efficiency/J224*AT224/Vinripple1</f>
        <v>0.13403383350999415</v>
      </c>
      <c r="BB224" s="6"/>
      <c r="CE224" s="577">
        <f t="shared" si="337"/>
        <v>-50</v>
      </c>
    </row>
    <row r="225" spans="5:83" x14ac:dyDescent="0.2">
      <c r="E225" s="175">
        <v>7</v>
      </c>
      <c r="F225" s="222">
        <f t="shared" si="338"/>
        <v>5.6000000000000008E-2</v>
      </c>
      <c r="G225" s="222">
        <f t="shared" si="307"/>
        <v>3.5000000000000003E-2</v>
      </c>
      <c r="H225" s="222">
        <f t="shared" si="308"/>
        <v>0.67200000000000015</v>
      </c>
      <c r="I225" s="222">
        <f t="shared" si="309"/>
        <v>0.42000000000000004</v>
      </c>
      <c r="J225" s="556">
        <f t="shared" si="310"/>
        <v>42</v>
      </c>
      <c r="K225" s="452">
        <f t="shared" si="311"/>
        <v>12.25</v>
      </c>
      <c r="L225" s="452">
        <f t="shared" si="312"/>
        <v>54.25</v>
      </c>
      <c r="M225" s="452"/>
      <c r="N225" s="222">
        <f t="shared" si="313"/>
        <v>0.22580645161290322</v>
      </c>
      <c r="O225" s="177">
        <f t="shared" si="314"/>
        <v>11.36605459057072</v>
      </c>
      <c r="P225" s="177">
        <f t="shared" si="315"/>
        <v>11.543649193548385</v>
      </c>
      <c r="Q225" s="222">
        <f t="shared" si="316"/>
        <v>0.94717121588089326</v>
      </c>
      <c r="R225" s="222">
        <f t="shared" si="317"/>
        <v>0.94717121588089326</v>
      </c>
      <c r="S225" s="222">
        <f t="shared" si="318"/>
        <v>12</v>
      </c>
      <c r="T225" s="222">
        <f t="shared" si="319"/>
        <v>0.24240601503759401</v>
      </c>
      <c r="U225" s="222">
        <f t="shared" si="320"/>
        <v>4.0401002506265667E-2</v>
      </c>
      <c r="V225" s="222">
        <f t="shared" si="321"/>
        <v>0.13851772287862515</v>
      </c>
      <c r="W225" s="202">
        <f t="shared" si="322"/>
        <v>350</v>
      </c>
      <c r="X225" s="452">
        <f t="shared" si="323"/>
        <v>350</v>
      </c>
      <c r="Z225" s="222">
        <f t="shared" si="324"/>
        <v>3.8709677419354835</v>
      </c>
      <c r="AA225" s="178">
        <f t="shared" si="325"/>
        <v>2.2119815668202762</v>
      </c>
      <c r="AB225" s="178">
        <f t="shared" si="326"/>
        <v>0.92211638517569838</v>
      </c>
      <c r="AC225" s="178"/>
      <c r="AD225" s="178">
        <f t="shared" si="327"/>
        <v>0.46857142857142853</v>
      </c>
      <c r="AE225" s="560">
        <f t="shared" si="328"/>
        <v>291.4931588340275</v>
      </c>
      <c r="AF225" s="543">
        <f t="shared" si="329"/>
        <v>6.723999999999998E-2</v>
      </c>
      <c r="AH225" s="178">
        <f t="shared" si="330"/>
        <v>0.9441549509633318</v>
      </c>
      <c r="AI225" s="178">
        <f t="shared" si="331"/>
        <v>0.9441549509633318</v>
      </c>
      <c r="AJ225" s="178">
        <f t="shared" si="332"/>
        <v>1.1665675193337299</v>
      </c>
      <c r="AL225" s="560">
        <f t="shared" si="333"/>
        <v>56.000000000000007</v>
      </c>
      <c r="AM225" s="470">
        <f t="shared" si="334"/>
        <v>291.4931588340275</v>
      </c>
      <c r="AO225">
        <f t="shared" si="335"/>
        <v>56.000000000000007</v>
      </c>
      <c r="AP225">
        <f t="shared" si="336"/>
        <v>291.4931588340275</v>
      </c>
      <c r="AR225" s="6">
        <f t="shared" si="300"/>
        <v>3.4306122448979579</v>
      </c>
      <c r="AS225" s="6">
        <f t="shared" si="291"/>
        <v>0.15735915849388862</v>
      </c>
      <c r="AT225" s="6">
        <f t="shared" si="292"/>
        <v>3.2732530864040692</v>
      </c>
      <c r="AU225" s="178">
        <f t="shared" si="293"/>
        <v>4.5869118180847983E-2</v>
      </c>
      <c r="AW225" s="6">
        <f>L*Iout^2/(2*Vripple1_spec*Vout*Npri_sec1^2)*1000000000*((1+N225)/(1-N225))^2</f>
        <v>3.8996913580246928</v>
      </c>
      <c r="AX225" s="6">
        <f>L*F225^2/(2*Cout*Vout*Nps^2)*1000000000*((1+N225)/(1-N225))^2+F225*RCoutEsr</f>
        <v>0.21678762805358556</v>
      </c>
      <c r="AY225" s="6">
        <f>L*Iout2^2/(2*Vout_ripple2*Vout2*Npri_sec2^2)*1000000000*((1+N225)/(1-N225))^2</f>
        <v>1.5233169367283956</v>
      </c>
      <c r="AZ225" s="6">
        <f>L*G225^2/(2*Cout2*Vout2*Npri_sec2^2)*1000000000*((1+N225)/(1-N225))^2+G225*CoutEsr2</f>
        <v>0.12405766720843185</v>
      </c>
      <c r="BA225" s="6">
        <f>(H225+I225)/Efficiency/J225*AT225/Vinripple1</f>
        <v>0.13271669434152952</v>
      </c>
      <c r="BB225" s="6"/>
      <c r="CE225" s="577">
        <f t="shared" si="337"/>
        <v>-50</v>
      </c>
    </row>
    <row r="226" spans="5:83" x14ac:dyDescent="0.2">
      <c r="E226" s="175">
        <v>8</v>
      </c>
      <c r="F226" s="222">
        <f t="shared" si="338"/>
        <v>6.4000000000000001E-2</v>
      </c>
      <c r="G226" s="222">
        <f t="shared" si="307"/>
        <v>0.04</v>
      </c>
      <c r="H226" s="222">
        <f t="shared" si="308"/>
        <v>0.76800000000000002</v>
      </c>
      <c r="I226" s="222">
        <f t="shared" si="309"/>
        <v>0.48</v>
      </c>
      <c r="J226" s="556">
        <f t="shared" si="310"/>
        <v>42</v>
      </c>
      <c r="K226" s="452">
        <f t="shared" si="311"/>
        <v>12.25</v>
      </c>
      <c r="L226" s="452">
        <f t="shared" si="312"/>
        <v>54.25</v>
      </c>
      <c r="M226" s="452"/>
      <c r="N226" s="222">
        <f t="shared" si="313"/>
        <v>0.22580645161290322</v>
      </c>
      <c r="O226" s="177">
        <f t="shared" si="314"/>
        <v>11.36605459057072</v>
      </c>
      <c r="P226" s="177">
        <f t="shared" si="315"/>
        <v>11.543649193548385</v>
      </c>
      <c r="Q226" s="222">
        <f t="shared" si="316"/>
        <v>0.94717121588089326</v>
      </c>
      <c r="R226" s="222">
        <f t="shared" si="317"/>
        <v>0.94717121588089326</v>
      </c>
      <c r="S226" s="222">
        <f t="shared" si="318"/>
        <v>12</v>
      </c>
      <c r="T226" s="222">
        <f t="shared" si="319"/>
        <v>0.27703544575725025</v>
      </c>
      <c r="U226" s="222">
        <f t="shared" si="320"/>
        <v>4.6172574292875045E-2</v>
      </c>
      <c r="V226" s="222">
        <f t="shared" si="321"/>
        <v>0.15830596900414301</v>
      </c>
      <c r="W226" s="202">
        <f t="shared" si="322"/>
        <v>350</v>
      </c>
      <c r="X226" s="452">
        <f t="shared" si="323"/>
        <v>350</v>
      </c>
      <c r="Z226" s="222">
        <f t="shared" si="324"/>
        <v>3.8709677419354835</v>
      </c>
      <c r="AA226" s="178">
        <f t="shared" si="325"/>
        <v>2.2119815668202762</v>
      </c>
      <c r="AB226" s="178">
        <f t="shared" si="326"/>
        <v>0.92211638517569838</v>
      </c>
      <c r="AC226" s="178"/>
      <c r="AD226" s="178">
        <f t="shared" si="327"/>
        <v>0.46857142857142853</v>
      </c>
      <c r="AE226" s="560">
        <f t="shared" si="328"/>
        <v>333.13503866745992</v>
      </c>
      <c r="AF226" s="543">
        <f t="shared" si="329"/>
        <v>6.723999999999998E-2</v>
      </c>
      <c r="AH226" s="178">
        <f t="shared" si="330"/>
        <v>1.0093440990088969</v>
      </c>
      <c r="AI226" s="178">
        <f t="shared" si="331"/>
        <v>1.0093440990088969</v>
      </c>
      <c r="AJ226" s="178">
        <f t="shared" si="332"/>
        <v>1.1903628792385486</v>
      </c>
      <c r="AL226" s="560">
        <f t="shared" si="333"/>
        <v>64</v>
      </c>
      <c r="AM226" s="470">
        <f t="shared" si="334"/>
        <v>333.13503866745992</v>
      </c>
      <c r="AO226">
        <f t="shared" si="335"/>
        <v>64</v>
      </c>
      <c r="AP226">
        <f t="shared" si="336"/>
        <v>333.13503866745992</v>
      </c>
      <c r="AR226" s="6">
        <f t="shared" si="300"/>
        <v>3.0017857142857136</v>
      </c>
      <c r="AS226" s="6">
        <f t="shared" si="291"/>
        <v>0.16822401650148283</v>
      </c>
      <c r="AT226" s="6">
        <f t="shared" si="292"/>
        <v>2.8335616977842308</v>
      </c>
      <c r="AU226" s="178">
        <f t="shared" si="293"/>
        <v>5.6041314242016901E-2</v>
      </c>
      <c r="AW226" s="6">
        <f>L*Iout^2/(2*Vripple1_spec*Vout*Npri_sec1^2)*1000000000*((1+N226)/(1-N226))^2</f>
        <v>3.8996913580246928</v>
      </c>
      <c r="AX226" s="6">
        <f>L*F226^2/(2*Cout*Vout*Nps^2)*1000000000*((1+N226)/(1-N226))^2+F226*RCoutEsr</f>
        <v>0.25572261623325454</v>
      </c>
      <c r="AY226" s="6">
        <f>L*Iout2^2/(2*Vout_ripple2*Vout2*Npri_sec2^2)*1000000000*((1+N226)/(1-N226))^2</f>
        <v>1.5233169367283956</v>
      </c>
      <c r="AZ226" s="6">
        <f>L*G226^2/(2*Cout2*Vout2*Npri_sec2^2)*1000000000*((1+N226)/(1-N226))^2+G226*CoutEsr2</f>
        <v>0.14489164696611506</v>
      </c>
      <c r="BA226" s="6">
        <f>(H226+I226)/Efficiency/J226*AT226/Vinripple1</f>
        <v>0.13130177290762909</v>
      </c>
      <c r="BB226" s="6"/>
      <c r="CE226" s="577">
        <f t="shared" si="337"/>
        <v>-50</v>
      </c>
    </row>
    <row r="227" spans="5:83" x14ac:dyDescent="0.2">
      <c r="E227" s="175">
        <v>9</v>
      </c>
      <c r="F227" s="222">
        <f t="shared" si="338"/>
        <v>7.1999999999999995E-2</v>
      </c>
      <c r="G227" s="222">
        <f t="shared" si="307"/>
        <v>4.4999999999999998E-2</v>
      </c>
      <c r="H227" s="222">
        <f t="shared" si="308"/>
        <v>0.86399999999999988</v>
      </c>
      <c r="I227" s="222">
        <f t="shared" si="309"/>
        <v>0.54</v>
      </c>
      <c r="J227" s="556">
        <f t="shared" si="310"/>
        <v>42</v>
      </c>
      <c r="K227" s="452">
        <f t="shared" si="311"/>
        <v>12.25</v>
      </c>
      <c r="L227" s="452">
        <f t="shared" si="312"/>
        <v>54.25</v>
      </c>
      <c r="M227" s="452"/>
      <c r="N227" s="222">
        <f t="shared" si="313"/>
        <v>0.22580645161290322</v>
      </c>
      <c r="O227" s="177">
        <f t="shared" si="314"/>
        <v>11.36605459057072</v>
      </c>
      <c r="P227" s="177">
        <f t="shared" si="315"/>
        <v>11.543649193548385</v>
      </c>
      <c r="Q227" s="222">
        <f t="shared" si="316"/>
        <v>0.94717121588089326</v>
      </c>
      <c r="R227" s="222">
        <f t="shared" si="317"/>
        <v>0.94717121588089326</v>
      </c>
      <c r="S227" s="222">
        <f t="shared" si="318"/>
        <v>12</v>
      </c>
      <c r="T227" s="222">
        <f t="shared" si="319"/>
        <v>0.31166487647690655</v>
      </c>
      <c r="U227" s="222">
        <f t="shared" si="320"/>
        <v>5.1944146079484423E-2</v>
      </c>
      <c r="V227" s="222">
        <f t="shared" si="321"/>
        <v>0.17809421512966092</v>
      </c>
      <c r="W227" s="202">
        <f t="shared" si="322"/>
        <v>350</v>
      </c>
      <c r="X227" s="452">
        <f t="shared" si="323"/>
        <v>350</v>
      </c>
      <c r="Z227" s="222">
        <f t="shared" si="324"/>
        <v>3.8709677419354835</v>
      </c>
      <c r="AA227" s="178">
        <f t="shared" si="325"/>
        <v>2.2119815668202762</v>
      </c>
      <c r="AB227" s="178">
        <f t="shared" si="326"/>
        <v>0.92211638517569838</v>
      </c>
      <c r="AC227" s="178"/>
      <c r="AD227" s="178">
        <f t="shared" si="327"/>
        <v>0.46857142857142853</v>
      </c>
      <c r="AE227" s="560">
        <f t="shared" si="328"/>
        <v>374.77691850089235</v>
      </c>
      <c r="AF227" s="543">
        <f t="shared" si="329"/>
        <v>6.723999999999998E-2</v>
      </c>
      <c r="AH227" s="178">
        <f t="shared" si="330"/>
        <v>1.0705710854397252</v>
      </c>
      <c r="AI227" s="178">
        <f t="shared" si="331"/>
        <v>1.0705710854397252</v>
      </c>
      <c r="AJ227" s="178">
        <f t="shared" si="332"/>
        <v>1.3856082114368335</v>
      </c>
      <c r="AL227" s="560">
        <f t="shared" si="333"/>
        <v>72</v>
      </c>
      <c r="AM227" s="470">
        <f t="shared" si="334"/>
        <v>350</v>
      </c>
      <c r="AO227">
        <f t="shared" si="335"/>
        <v>72</v>
      </c>
      <c r="AP227">
        <f t="shared" si="336"/>
        <v>350</v>
      </c>
      <c r="AR227" s="6">
        <f t="shared" si="300"/>
        <v>2.8571428571428572</v>
      </c>
      <c r="AS227" s="6">
        <f t="shared" si="291"/>
        <v>0.17842851423995421</v>
      </c>
      <c r="AT227" s="6">
        <f t="shared" si="292"/>
        <v>2.6787143429029028</v>
      </c>
      <c r="AU227" s="178">
        <f t="shared" si="293"/>
        <v>6.2449979983983973E-2</v>
      </c>
      <c r="AW227" s="6">
        <f>L*Iout^2/(2*Vripple1_spec*Vout*Npri_sec1^2)*1000000000*((1+N227)/(1-N227))^2</f>
        <v>3.8996913580246928</v>
      </c>
      <c r="AX227" s="6">
        <f>L*F227^2/(2*Cout*Vout*Nps^2)*1000000000*((1+N227)/(1-N227))^2+F227*RCoutEsr</f>
        <v>0.29664893617021276</v>
      </c>
      <c r="AY227" s="6">
        <f>L*Iout2^2/(2*Vout_ripple2*Vout2*Npri_sec2^2)*1000000000*((1+N227)/(1-N227))^2</f>
        <v>1.5233169367283956</v>
      </c>
      <c r="AZ227" s="6">
        <f>L*G227^2/(2*Cout2*Vout2*Npri_sec2^2)*1000000000*((1+N227)/(1-N227))^2+G227*CoutEsr2</f>
        <v>0.16650349069148937</v>
      </c>
      <c r="BA227" s="6">
        <f>(H227+I227)/Efficiency/J227*AT227/Vinripple1</f>
        <v>0.13964225145959991</v>
      </c>
      <c r="BB227" s="6"/>
      <c r="CE227" s="577">
        <f t="shared" si="337"/>
        <v>-50</v>
      </c>
    </row>
    <row r="228" spans="5:83" x14ac:dyDescent="0.2">
      <c r="E228" s="175">
        <v>10</v>
      </c>
      <c r="F228" s="222">
        <f t="shared" si="338"/>
        <v>8.0000000000000016E-2</v>
      </c>
      <c r="G228" s="222">
        <f t="shared" si="307"/>
        <v>0.05</v>
      </c>
      <c r="H228" s="222">
        <f t="shared" si="308"/>
        <v>0.96000000000000019</v>
      </c>
      <c r="I228" s="222">
        <f t="shared" si="309"/>
        <v>0.60000000000000009</v>
      </c>
      <c r="J228" s="556">
        <f t="shared" si="310"/>
        <v>42</v>
      </c>
      <c r="K228" s="452">
        <f t="shared" si="311"/>
        <v>12.25</v>
      </c>
      <c r="L228" s="452">
        <f t="shared" si="312"/>
        <v>54.25</v>
      </c>
      <c r="M228" s="452"/>
      <c r="N228" s="222">
        <f t="shared" si="313"/>
        <v>0.22580645161290322</v>
      </c>
      <c r="O228" s="177">
        <f t="shared" si="314"/>
        <v>11.36605459057072</v>
      </c>
      <c r="P228" s="177">
        <f t="shared" si="315"/>
        <v>11.543649193548385</v>
      </c>
      <c r="Q228" s="222">
        <f t="shared" si="316"/>
        <v>0.94717121588089326</v>
      </c>
      <c r="R228" s="222">
        <f t="shared" si="317"/>
        <v>0.94717121588089326</v>
      </c>
      <c r="S228" s="222">
        <f t="shared" si="318"/>
        <v>12</v>
      </c>
      <c r="T228" s="222">
        <f t="shared" si="319"/>
        <v>0.3462943071965629</v>
      </c>
      <c r="U228" s="222">
        <f t="shared" si="320"/>
        <v>5.7715717866093814E-2</v>
      </c>
      <c r="V228" s="222">
        <f t="shared" si="321"/>
        <v>0.19788246125517878</v>
      </c>
      <c r="W228" s="202">
        <f t="shared" si="322"/>
        <v>350</v>
      </c>
      <c r="X228" s="452">
        <f t="shared" si="323"/>
        <v>350</v>
      </c>
      <c r="Z228" s="222">
        <f t="shared" si="324"/>
        <v>3.8709677419354835</v>
      </c>
      <c r="AA228" s="178">
        <f t="shared" si="325"/>
        <v>2.2119815668202762</v>
      </c>
      <c r="AB228" s="178">
        <f t="shared" si="326"/>
        <v>0.92211638517569838</v>
      </c>
      <c r="AC228" s="178"/>
      <c r="AD228" s="178">
        <f t="shared" si="327"/>
        <v>0.46857142857142853</v>
      </c>
      <c r="AE228" s="560">
        <f t="shared" si="328"/>
        <v>416.41879833432495</v>
      </c>
      <c r="AF228" s="543">
        <f t="shared" si="329"/>
        <v>6.723999999999998E-2</v>
      </c>
      <c r="AH228" s="178">
        <f t="shared" si="330"/>
        <v>1.1284810090360857</v>
      </c>
      <c r="AI228" s="178">
        <f t="shared" si="331"/>
        <v>1.1284810090360857</v>
      </c>
      <c r="AJ228" s="178">
        <f t="shared" si="332"/>
        <v>1.4285044511378413</v>
      </c>
      <c r="AL228" s="560">
        <f t="shared" si="333"/>
        <v>80.000000000000014</v>
      </c>
      <c r="AM228" s="470">
        <f t="shared" si="334"/>
        <v>350</v>
      </c>
      <c r="AO228">
        <f t="shared" si="335"/>
        <v>80.000000000000014</v>
      </c>
      <c r="AP228">
        <f t="shared" si="336"/>
        <v>350</v>
      </c>
      <c r="AR228" s="6">
        <f t="shared" si="300"/>
        <v>2.8571428571428572</v>
      </c>
      <c r="AS228" s="6">
        <f t="shared" si="291"/>
        <v>0.18808016817268092</v>
      </c>
      <c r="AT228" s="6">
        <f t="shared" si="292"/>
        <v>2.6690626889701763</v>
      </c>
      <c r="AU228" s="178">
        <f t="shared" si="293"/>
        <v>6.5828058860438313E-2</v>
      </c>
      <c r="AW228" s="6">
        <f>L*Iout^2/(2*Vripple1_spec*Vout*Npri_sec1^2)*1000000000*((1+N228)/(1-N228))^2</f>
        <v>3.8996913580246928</v>
      </c>
      <c r="AX228" s="6">
        <f>L*F228^2/(2*Cout*Vout*Nps^2)*1000000000*((1+N228)/(1-N228))^2+F228*RCoutEsr</f>
        <v>0.33956658786446031</v>
      </c>
      <c r="AY228" s="6">
        <f>L*Iout2^2/(2*Vout_ripple2*Vout2*Npri_sec2^2)*1000000000*((1+N228)/(1-N228))^2</f>
        <v>1.5233169367283956</v>
      </c>
      <c r="AZ228" s="6">
        <f>L*G228^2/(2*Cout2*Vout2*Npri_sec2^2)*1000000000*((1+N228)/(1-N228))^2+G228*CoutEsr2</f>
        <v>0.18889319838455482</v>
      </c>
      <c r="BA228" s="6">
        <f>(H228+I228)/Efficiency/J228*AT228/Vinripple1</f>
        <v>0.15459900843937532</v>
      </c>
      <c r="BB228" s="6"/>
      <c r="CE228" s="577">
        <f t="shared" si="337"/>
        <v>-50</v>
      </c>
    </row>
    <row r="229" spans="5:83" x14ac:dyDescent="0.2">
      <c r="E229" s="175">
        <v>11</v>
      </c>
      <c r="F229" s="222">
        <f t="shared" si="338"/>
        <v>8.8000000000000009E-2</v>
      </c>
      <c r="G229" s="222">
        <f t="shared" si="307"/>
        <v>5.5E-2</v>
      </c>
      <c r="H229" s="222">
        <f t="shared" si="308"/>
        <v>1.056</v>
      </c>
      <c r="I229" s="222">
        <f t="shared" si="309"/>
        <v>0.66</v>
      </c>
      <c r="J229" s="556">
        <f t="shared" si="310"/>
        <v>42</v>
      </c>
      <c r="K229" s="452">
        <f t="shared" si="311"/>
        <v>12.25</v>
      </c>
      <c r="L229" s="452">
        <f t="shared" si="312"/>
        <v>54.25</v>
      </c>
      <c r="M229" s="452"/>
      <c r="N229" s="222">
        <f t="shared" si="313"/>
        <v>0.22580645161290322</v>
      </c>
      <c r="O229" s="177">
        <f t="shared" si="314"/>
        <v>11.36605459057072</v>
      </c>
      <c r="P229" s="177">
        <f t="shared" si="315"/>
        <v>11.543649193548385</v>
      </c>
      <c r="Q229" s="222">
        <f t="shared" si="316"/>
        <v>0.94717121588089326</v>
      </c>
      <c r="R229" s="222">
        <f t="shared" si="317"/>
        <v>0.94717121588089326</v>
      </c>
      <c r="S229" s="222">
        <f t="shared" si="318"/>
        <v>12</v>
      </c>
      <c r="T229" s="222">
        <f t="shared" si="319"/>
        <v>0.38092373791621914</v>
      </c>
      <c r="U229" s="222">
        <f t="shared" si="320"/>
        <v>6.3487289652703185E-2</v>
      </c>
      <c r="V229" s="222">
        <f t="shared" si="321"/>
        <v>0.21767070738069663</v>
      </c>
      <c r="W229" s="202">
        <f t="shared" si="322"/>
        <v>350</v>
      </c>
      <c r="X229" s="452">
        <f t="shared" si="323"/>
        <v>350</v>
      </c>
      <c r="Z229" s="222">
        <f t="shared" si="324"/>
        <v>3.8709677419354835</v>
      </c>
      <c r="AA229" s="178">
        <f t="shared" si="325"/>
        <v>2.2119815668202762</v>
      </c>
      <c r="AB229" s="178">
        <f t="shared" si="326"/>
        <v>0.92211638517569838</v>
      </c>
      <c r="AC229" s="178"/>
      <c r="AD229" s="178">
        <f t="shared" si="327"/>
        <v>0.46857142857142853</v>
      </c>
      <c r="AE229" s="560">
        <f t="shared" si="328"/>
        <v>458.06067816775737</v>
      </c>
      <c r="AF229" s="543">
        <f t="shared" si="329"/>
        <v>6.723999999999998E-2</v>
      </c>
      <c r="AH229" s="178">
        <f t="shared" si="330"/>
        <v>1.1835608672690274</v>
      </c>
      <c r="AI229" s="178">
        <f t="shared" si="331"/>
        <v>1.1835608672690274</v>
      </c>
      <c r="AJ229" s="178">
        <f t="shared" si="332"/>
        <v>1.4693043461252056</v>
      </c>
      <c r="AL229" s="560">
        <f t="shared" si="333"/>
        <v>88.000000000000014</v>
      </c>
      <c r="AM229" s="470">
        <f t="shared" si="334"/>
        <v>350</v>
      </c>
      <c r="AO229">
        <f t="shared" si="335"/>
        <v>88.000000000000014</v>
      </c>
      <c r="AP229">
        <f t="shared" si="336"/>
        <v>350</v>
      </c>
      <c r="AR229" s="6">
        <f t="shared" si="300"/>
        <v>2.8571428571428572</v>
      </c>
      <c r="AS229" s="6">
        <f t="shared" si="291"/>
        <v>0.1972601445448379</v>
      </c>
      <c r="AT229" s="6">
        <f t="shared" si="292"/>
        <v>2.6598827125980193</v>
      </c>
      <c r="AU229" s="178">
        <f t="shared" si="293"/>
        <v>6.9041050590693265E-2</v>
      </c>
      <c r="AW229" s="6">
        <f>L*Iout^2/(2*Vripple1_spec*Vout*Npri_sec1^2)*1000000000*((1+N229)/(1-N229))^2</f>
        <v>3.8996913580246928</v>
      </c>
      <c r="AX229" s="6">
        <f>L*F229^2/(2*Cout*Vout*Nps^2)*1000000000*((1+N229)/(1-N229))^2+F229*RCoutEsr</f>
        <v>0.38447557131599691</v>
      </c>
      <c r="AY229" s="6">
        <f>L*Iout2^2/(2*Vout_ripple2*Vout2*Npri_sec2^2)*1000000000*((1+N229)/(1-N229))^2</f>
        <v>1.5233169367283956</v>
      </c>
      <c r="AZ229" s="6">
        <f>L*G229^2/(2*Cout2*Vout2*Npri_sec2^2)*1000000000*((1+N229)/(1-N229))^2+G229*CoutEsr2</f>
        <v>0.21206077004531129</v>
      </c>
      <c r="BA229" s="6">
        <f>(H229+I229)/Efficiency/J229*AT229/Vinripple1</f>
        <v>0.16947400853311803</v>
      </c>
      <c r="BB229" s="6"/>
      <c r="CE229" s="577">
        <f t="shared" si="337"/>
        <v>-50</v>
      </c>
    </row>
    <row r="230" spans="5:83" x14ac:dyDescent="0.2">
      <c r="E230" s="175">
        <v>12</v>
      </c>
      <c r="F230" s="222">
        <f t="shared" si="338"/>
        <v>9.6000000000000002E-2</v>
      </c>
      <c r="G230" s="222">
        <f t="shared" si="307"/>
        <v>0.06</v>
      </c>
      <c r="H230" s="222">
        <f t="shared" si="308"/>
        <v>1.1520000000000001</v>
      </c>
      <c r="I230" s="222">
        <f t="shared" si="309"/>
        <v>0.72</v>
      </c>
      <c r="J230" s="556">
        <f t="shared" si="310"/>
        <v>42</v>
      </c>
      <c r="K230" s="452">
        <f t="shared" si="311"/>
        <v>12.25</v>
      </c>
      <c r="L230" s="452">
        <f t="shared" si="312"/>
        <v>54.25</v>
      </c>
      <c r="M230" s="452"/>
      <c r="N230" s="222">
        <f t="shared" si="313"/>
        <v>0.22580645161290322</v>
      </c>
      <c r="O230" s="177">
        <f t="shared" si="314"/>
        <v>11.36605459057072</v>
      </c>
      <c r="P230" s="177">
        <f t="shared" si="315"/>
        <v>11.543649193548385</v>
      </c>
      <c r="Q230" s="222">
        <f t="shared" si="316"/>
        <v>0.94717121588089326</v>
      </c>
      <c r="R230" s="222">
        <f t="shared" si="317"/>
        <v>0.94717121588089326</v>
      </c>
      <c r="S230" s="222">
        <f t="shared" si="318"/>
        <v>12</v>
      </c>
      <c r="T230" s="222">
        <f t="shared" si="319"/>
        <v>0.41555316863587544</v>
      </c>
      <c r="U230" s="222">
        <f t="shared" si="320"/>
        <v>6.9258861439312577E-2</v>
      </c>
      <c r="V230" s="222">
        <f t="shared" si="321"/>
        <v>0.23745895350621454</v>
      </c>
      <c r="W230" s="202">
        <f t="shared" si="322"/>
        <v>350</v>
      </c>
      <c r="X230" s="452">
        <f t="shared" si="323"/>
        <v>350</v>
      </c>
      <c r="Z230" s="222">
        <f t="shared" si="324"/>
        <v>3.8709677419354835</v>
      </c>
      <c r="AA230" s="178">
        <f t="shared" si="325"/>
        <v>2.2119815668202762</v>
      </c>
      <c r="AB230" s="178">
        <f t="shared" si="326"/>
        <v>0.92211638517569838</v>
      </c>
      <c r="AC230" s="178"/>
      <c r="AD230" s="178">
        <f t="shared" si="327"/>
        <v>0.46857142857142853</v>
      </c>
      <c r="AE230" s="560">
        <f t="shared" si="328"/>
        <v>499.70255800118991</v>
      </c>
      <c r="AF230" s="543">
        <f t="shared" si="329"/>
        <v>6.723999999999998E-2</v>
      </c>
      <c r="AH230" s="178">
        <f t="shared" si="330"/>
        <v>1.2361890087305105</v>
      </c>
      <c r="AI230" s="178">
        <f t="shared" si="331"/>
        <v>1.2361890087305105</v>
      </c>
      <c r="AJ230" s="178">
        <f t="shared" si="332"/>
        <v>1.5082881546151929</v>
      </c>
      <c r="AL230" s="560">
        <f t="shared" si="333"/>
        <v>96</v>
      </c>
      <c r="AM230" s="470">
        <f t="shared" si="334"/>
        <v>350</v>
      </c>
      <c r="AO230">
        <f t="shared" si="335"/>
        <v>96</v>
      </c>
      <c r="AP230">
        <f t="shared" si="336"/>
        <v>350</v>
      </c>
      <c r="AR230" s="6">
        <f t="shared" si="300"/>
        <v>2.8571428571428572</v>
      </c>
      <c r="AS230" s="6">
        <f t="shared" si="291"/>
        <v>0.20603150145508506</v>
      </c>
      <c r="AT230" s="6">
        <f t="shared" si="292"/>
        <v>2.6511113556877723</v>
      </c>
      <c r="AU230" s="178">
        <f t="shared" si="293"/>
        <v>7.2111025509279766E-2</v>
      </c>
      <c r="AW230" s="6">
        <f>L*Iout^2/(2*Vripple1_spec*Vout*Npri_sec1^2)*1000000000*((1+N230)/(1-N230))^2</f>
        <v>3.8996913580246928</v>
      </c>
      <c r="AX230" s="6">
        <f>L*F230^2/(2*Cout*Vout*Nps^2)*1000000000*((1+N230)/(1-N230))^2+F230*RCoutEsr</f>
        <v>0.43137588652482278</v>
      </c>
      <c r="AY230" s="6">
        <f>L*Iout2^2/(2*Vout_ripple2*Vout2*Npri_sec2^2)*1000000000*((1+N230)/(1-N230))^2</f>
        <v>1.5233169367283956</v>
      </c>
      <c r="AZ230" s="6">
        <f>L*G230^2/(2*Cout2*Vout2*Npri_sec2^2)*1000000000*((1+N230)/(1-N230))^2+G230*CoutEsr2</f>
        <v>0.23600620567375885</v>
      </c>
      <c r="BA230" s="6">
        <f>(H230+I230)/Efficiency/J230*AT230/Vinripple1</f>
        <v>0.18427106499016097</v>
      </c>
      <c r="BB230" s="6"/>
      <c r="CE230" s="577">
        <f t="shared" si="337"/>
        <v>-50</v>
      </c>
    </row>
    <row r="231" spans="5:83" x14ac:dyDescent="0.2">
      <c r="E231" s="175">
        <v>13</v>
      </c>
      <c r="F231" s="222">
        <f t="shared" si="338"/>
        <v>0.10400000000000001</v>
      </c>
      <c r="G231" s="222">
        <f t="shared" si="307"/>
        <v>6.5000000000000002E-2</v>
      </c>
      <c r="H231" s="222">
        <f t="shared" si="308"/>
        <v>1.2480000000000002</v>
      </c>
      <c r="I231" s="222">
        <f t="shared" si="309"/>
        <v>0.78</v>
      </c>
      <c r="J231" s="556">
        <f t="shared" si="310"/>
        <v>42</v>
      </c>
      <c r="K231" s="452">
        <f t="shared" si="311"/>
        <v>12.25</v>
      </c>
      <c r="L231" s="452">
        <f t="shared" si="312"/>
        <v>54.25</v>
      </c>
      <c r="M231" s="452"/>
      <c r="N231" s="222">
        <f t="shared" si="313"/>
        <v>0.22580645161290322</v>
      </c>
      <c r="O231" s="177">
        <f t="shared" si="314"/>
        <v>11.36605459057072</v>
      </c>
      <c r="P231" s="177">
        <f t="shared" si="315"/>
        <v>11.543649193548385</v>
      </c>
      <c r="Q231" s="222">
        <f t="shared" si="316"/>
        <v>0.94717121588089326</v>
      </c>
      <c r="R231" s="222">
        <f t="shared" si="317"/>
        <v>0.94717121588089326</v>
      </c>
      <c r="S231" s="222">
        <f t="shared" si="318"/>
        <v>12</v>
      </c>
      <c r="T231" s="222">
        <f t="shared" si="319"/>
        <v>0.45018259935553179</v>
      </c>
      <c r="U231" s="222">
        <f t="shared" si="320"/>
        <v>7.5030433225921969E-2</v>
      </c>
      <c r="V231" s="222">
        <f t="shared" si="321"/>
        <v>0.25724719963173243</v>
      </c>
      <c r="W231" s="202">
        <f t="shared" si="322"/>
        <v>350</v>
      </c>
      <c r="X231" s="452">
        <f t="shared" si="323"/>
        <v>350</v>
      </c>
      <c r="Z231" s="222">
        <f t="shared" si="324"/>
        <v>3.8709677419354835</v>
      </c>
      <c r="AA231" s="178">
        <f t="shared" si="325"/>
        <v>2.2119815668202762</v>
      </c>
      <c r="AB231" s="178">
        <f t="shared" si="326"/>
        <v>0.92211638517569838</v>
      </c>
      <c r="AC231" s="178"/>
      <c r="AD231" s="178">
        <f t="shared" si="327"/>
        <v>0.46857142857142853</v>
      </c>
      <c r="AE231" s="560">
        <f t="shared" si="328"/>
        <v>541.34443783462245</v>
      </c>
      <c r="AF231" s="543">
        <f t="shared" si="329"/>
        <v>6.723999999999998E-2</v>
      </c>
      <c r="AH231" s="178">
        <f t="shared" si="330"/>
        <v>1.2866663141940233</v>
      </c>
      <c r="AI231" s="178">
        <f t="shared" si="331"/>
        <v>1.2866663141940233</v>
      </c>
      <c r="AJ231" s="178">
        <f t="shared" si="332"/>
        <v>1.545678751254832</v>
      </c>
      <c r="AL231" s="560">
        <f t="shared" si="333"/>
        <v>104.00000000000001</v>
      </c>
      <c r="AM231" s="470">
        <f t="shared" si="334"/>
        <v>350</v>
      </c>
      <c r="AO231">
        <f t="shared" si="335"/>
        <v>104.00000000000001</v>
      </c>
      <c r="AP231">
        <f t="shared" si="336"/>
        <v>350</v>
      </c>
      <c r="AR231" s="6">
        <f t="shared" si="300"/>
        <v>2.8571428571428572</v>
      </c>
      <c r="AS231" s="6">
        <f t="shared" si="291"/>
        <v>0.2144443856990039</v>
      </c>
      <c r="AT231" s="6">
        <f t="shared" si="292"/>
        <v>2.6426984714438535</v>
      </c>
      <c r="AU231" s="178">
        <f t="shared" si="293"/>
        <v>7.5055534994651368E-2</v>
      </c>
      <c r="AW231" s="6">
        <f>L*Iout^2/(2*Vripple1_spec*Vout*Npri_sec1^2)*1000000000*((1+N231)/(1-N231))^2</f>
        <v>3.8996913580246928</v>
      </c>
      <c r="AX231" s="6">
        <f>L*F231^2/(2*Cout*Vout*Nps^2)*1000000000*((1+N231)/(1-N231))^2+F231*RCoutEsr</f>
        <v>0.48026753349093787</v>
      </c>
      <c r="AY231" s="6">
        <f>L*Iout2^2/(2*Vout_ripple2*Vout2*Npri_sec2^2)*1000000000*((1+N231)/(1-N231))^2</f>
        <v>1.5233169367283956</v>
      </c>
      <c r="AZ231" s="6">
        <f>L*G231^2/(2*Cout2*Vout2*Npri_sec2^2)*1000000000*((1+N231)/(1-N231))^2+G231*CoutEsr2</f>
        <v>0.26072950526989758</v>
      </c>
      <c r="BA231" s="6">
        <f>(H231+I231)/Efficiency/J231*AT231/Vinripple1</f>
        <v>0.19899350227747653</v>
      </c>
      <c r="BB231" s="6"/>
      <c r="CE231" s="577">
        <f t="shared" si="337"/>
        <v>-50</v>
      </c>
    </row>
    <row r="232" spans="5:83" x14ac:dyDescent="0.2">
      <c r="E232" s="175">
        <v>14</v>
      </c>
      <c r="F232" s="222">
        <f t="shared" si="338"/>
        <v>0.11200000000000002</v>
      </c>
      <c r="G232" s="222">
        <f t="shared" si="307"/>
        <v>7.0000000000000007E-2</v>
      </c>
      <c r="H232" s="222">
        <f t="shared" si="308"/>
        <v>1.3440000000000003</v>
      </c>
      <c r="I232" s="222">
        <f t="shared" si="309"/>
        <v>0.84000000000000008</v>
      </c>
      <c r="J232" s="556">
        <f t="shared" si="310"/>
        <v>42</v>
      </c>
      <c r="K232" s="452">
        <f t="shared" si="311"/>
        <v>12.25</v>
      </c>
      <c r="L232" s="452">
        <f t="shared" si="312"/>
        <v>54.25</v>
      </c>
      <c r="M232" s="452"/>
      <c r="N232" s="222">
        <f t="shared" si="313"/>
        <v>0.22580645161290322</v>
      </c>
      <c r="O232" s="177">
        <f t="shared" si="314"/>
        <v>11.36605459057072</v>
      </c>
      <c r="P232" s="177">
        <f t="shared" si="315"/>
        <v>11.543649193548385</v>
      </c>
      <c r="Q232" s="222">
        <f t="shared" si="316"/>
        <v>0.94717121588089326</v>
      </c>
      <c r="R232" s="222">
        <f t="shared" si="317"/>
        <v>0.94717121588089326</v>
      </c>
      <c r="S232" s="222">
        <f t="shared" si="318"/>
        <v>12</v>
      </c>
      <c r="T232" s="222">
        <f t="shared" si="319"/>
        <v>0.48481203007518803</v>
      </c>
      <c r="U232" s="222">
        <f t="shared" si="320"/>
        <v>8.0802005012531333E-2</v>
      </c>
      <c r="V232" s="222">
        <f t="shared" si="321"/>
        <v>0.27703544575725031</v>
      </c>
      <c r="W232" s="202">
        <f t="shared" si="322"/>
        <v>350</v>
      </c>
      <c r="X232" s="452">
        <f t="shared" si="323"/>
        <v>350</v>
      </c>
      <c r="Z232" s="222">
        <f t="shared" si="324"/>
        <v>3.8709677419354835</v>
      </c>
      <c r="AA232" s="178">
        <f t="shared" si="325"/>
        <v>2.2119815668202762</v>
      </c>
      <c r="AB232" s="178">
        <f t="shared" si="326"/>
        <v>0.92211638517569838</v>
      </c>
      <c r="AC232" s="178"/>
      <c r="AD232" s="178">
        <f t="shared" si="327"/>
        <v>0.46857142857142853</v>
      </c>
      <c r="AE232" s="560">
        <f t="shared" si="328"/>
        <v>582.98631766805499</v>
      </c>
      <c r="AF232" s="543">
        <f t="shared" si="329"/>
        <v>6.723999999999998E-2</v>
      </c>
      <c r="AH232" s="178">
        <f t="shared" si="330"/>
        <v>1.3352367366340483</v>
      </c>
      <c r="AI232" s="178">
        <f t="shared" si="331"/>
        <v>1.3352367366340483</v>
      </c>
      <c r="AJ232" s="178">
        <f t="shared" si="332"/>
        <v>1.5816568419511468</v>
      </c>
      <c r="AL232" s="560">
        <f t="shared" si="333"/>
        <v>112.00000000000001</v>
      </c>
      <c r="AM232" s="470">
        <f t="shared" si="334"/>
        <v>350</v>
      </c>
      <c r="AO232">
        <f t="shared" si="335"/>
        <v>112.00000000000001</v>
      </c>
      <c r="AP232">
        <f t="shared" si="336"/>
        <v>350</v>
      </c>
      <c r="AR232" s="6">
        <f t="shared" si="300"/>
        <v>2.8571428571428572</v>
      </c>
      <c r="AS232" s="6">
        <f t="shared" si="291"/>
        <v>0.22253945610567472</v>
      </c>
      <c r="AT232" s="6">
        <f t="shared" si="292"/>
        <v>2.6346034010371824</v>
      </c>
      <c r="AU232" s="178">
        <f t="shared" si="293"/>
        <v>7.7888809636986148E-2</v>
      </c>
      <c r="AW232" s="6">
        <f>L*Iout^2/(2*Vripple1_spec*Vout*Npri_sec1^2)*1000000000*((1+N232)/(1-N232))^2</f>
        <v>3.8996913580246928</v>
      </c>
      <c r="AX232" s="6">
        <f>L*F232^2/(2*Cout*Vout*Nps^2)*1000000000*((1+N232)/(1-N232))^2+F232*RCoutEsr</f>
        <v>0.53115051221434217</v>
      </c>
      <c r="AY232" s="6">
        <f>L*Iout2^2/(2*Vout_ripple2*Vout2*Npri_sec2^2)*1000000000*((1+N232)/(1-N232))^2</f>
        <v>1.5233169367283956</v>
      </c>
      <c r="AZ232" s="6">
        <f>L*G232^2/(2*Cout2*Vout2*Npri_sec2^2)*1000000000*((1+N232)/(1-N232))^2+G232*CoutEsr2</f>
        <v>0.28623066883372739</v>
      </c>
      <c r="BA232" s="6">
        <f>(H232+I232)/Efficiency/J232*AT232/Vinripple1</f>
        <v>0.21364425240379489</v>
      </c>
      <c r="BB232" s="6"/>
      <c r="CE232" s="577">
        <f t="shared" si="337"/>
        <v>-50</v>
      </c>
    </row>
    <row r="233" spans="5:83" x14ac:dyDescent="0.2">
      <c r="E233" s="175">
        <v>15</v>
      </c>
      <c r="F233" s="222">
        <f t="shared" si="338"/>
        <v>0.12</v>
      </c>
      <c r="G233" s="222">
        <f t="shared" si="307"/>
        <v>7.4999999999999997E-2</v>
      </c>
      <c r="H233" s="222">
        <f t="shared" si="308"/>
        <v>1.44</v>
      </c>
      <c r="I233" s="222">
        <f t="shared" si="309"/>
        <v>0.89999999999999991</v>
      </c>
      <c r="J233" s="556">
        <f t="shared" si="310"/>
        <v>42</v>
      </c>
      <c r="K233" s="452">
        <f t="shared" si="311"/>
        <v>12.25</v>
      </c>
      <c r="L233" s="452">
        <f t="shared" si="312"/>
        <v>54.25</v>
      </c>
      <c r="M233" s="452"/>
      <c r="N233" s="222">
        <f t="shared" si="313"/>
        <v>0.22580645161290322</v>
      </c>
      <c r="O233" s="177">
        <f t="shared" si="314"/>
        <v>11.36605459057072</v>
      </c>
      <c r="P233" s="177">
        <f t="shared" si="315"/>
        <v>11.543649193548385</v>
      </c>
      <c r="Q233" s="222">
        <f t="shared" si="316"/>
        <v>0.94717121588089326</v>
      </c>
      <c r="R233" s="222">
        <f t="shared" si="317"/>
        <v>0.94717121588089326</v>
      </c>
      <c r="S233" s="222">
        <f t="shared" si="318"/>
        <v>12</v>
      </c>
      <c r="T233" s="222">
        <f t="shared" si="319"/>
        <v>0.51944146079484421</v>
      </c>
      <c r="U233" s="222">
        <f t="shared" si="320"/>
        <v>8.6573576799140697E-2</v>
      </c>
      <c r="V233" s="222">
        <f t="shared" si="321"/>
        <v>0.29682369188276814</v>
      </c>
      <c r="W233" s="202">
        <f t="shared" si="322"/>
        <v>350</v>
      </c>
      <c r="X233" s="452">
        <f t="shared" si="323"/>
        <v>350</v>
      </c>
      <c r="Z233" s="222">
        <f t="shared" si="324"/>
        <v>3.8709677419354835</v>
      </c>
      <c r="AA233" s="178">
        <f t="shared" si="325"/>
        <v>2.2119815668202762</v>
      </c>
      <c r="AB233" s="178">
        <f t="shared" si="326"/>
        <v>0.92211638517569838</v>
      </c>
      <c r="AC233" s="178"/>
      <c r="AD233" s="178">
        <f t="shared" si="327"/>
        <v>0.46857142857142853</v>
      </c>
      <c r="AE233" s="560">
        <f t="shared" si="328"/>
        <v>624.62819750148731</v>
      </c>
      <c r="AF233" s="543">
        <f t="shared" si="329"/>
        <v>6.723999999999998E-2</v>
      </c>
      <c r="AH233" s="178">
        <f t="shared" si="330"/>
        <v>1.3821013282797514</v>
      </c>
      <c r="AI233" s="178">
        <f t="shared" si="331"/>
        <v>1.3821013282797514</v>
      </c>
      <c r="AJ233" s="178">
        <f t="shared" si="332"/>
        <v>1.6163713542812974</v>
      </c>
      <c r="AL233" s="560">
        <f t="shared" si="333"/>
        <v>120</v>
      </c>
      <c r="AM233" s="470">
        <f t="shared" si="334"/>
        <v>350</v>
      </c>
      <c r="AO233">
        <f t="shared" si="335"/>
        <v>120</v>
      </c>
      <c r="AP233">
        <f t="shared" si="336"/>
        <v>350</v>
      </c>
      <c r="AR233" s="6">
        <f t="shared" si="300"/>
        <v>2.8571428571428572</v>
      </c>
      <c r="AS233" s="6">
        <f t="shared" si="291"/>
        <v>0.23035022137995856</v>
      </c>
      <c r="AT233" s="6">
        <f t="shared" si="292"/>
        <v>2.6267926357628988</v>
      </c>
      <c r="AU233" s="178">
        <f t="shared" si="293"/>
        <v>8.06225774829855E-2</v>
      </c>
      <c r="AW233" s="6">
        <f>L*Iout^2/(2*Vripple1_spec*Vout*Npri_sec1^2)*1000000000*((1+N233)/(1-N233))^2</f>
        <v>3.8996913580246928</v>
      </c>
      <c r="AX233" s="6">
        <f>L*F233^2/(2*Cout*Vout*Nps^2)*1000000000*((1+N233)/(1-N233))^2+F233*RCoutEsr</f>
        <v>0.58402482269503553</v>
      </c>
      <c r="AY233" s="6">
        <f>L*Iout2^2/(2*Vout_ripple2*Vout2*Npri_sec2^2)*1000000000*((1+N233)/(1-N233))^2</f>
        <v>1.5233169367283956</v>
      </c>
      <c r="AZ233" s="6">
        <f>L*G233^2/(2*Cout2*Vout2*Npri_sec2^2)*1000000000*((1+N233)/(1-N233))^2+G233*CoutEsr2</f>
        <v>0.31250969636524822</v>
      </c>
      <c r="BA233" s="6">
        <f>(H233+I233)/Efficiency/J233*AT233/Vinripple1</f>
        <v>0.22822592658257432</v>
      </c>
      <c r="BB233" s="6"/>
      <c r="CE233" s="577">
        <f t="shared" si="337"/>
        <v>-50</v>
      </c>
    </row>
    <row r="234" spans="5:83" x14ac:dyDescent="0.2">
      <c r="E234" s="175">
        <v>16</v>
      </c>
      <c r="F234" s="222">
        <f t="shared" si="338"/>
        <v>0.128</v>
      </c>
      <c r="G234" s="222">
        <f t="shared" si="307"/>
        <v>0.08</v>
      </c>
      <c r="H234" s="222">
        <f t="shared" si="308"/>
        <v>1.536</v>
      </c>
      <c r="I234" s="222">
        <f t="shared" si="309"/>
        <v>0.96</v>
      </c>
      <c r="J234" s="556">
        <f t="shared" si="310"/>
        <v>42</v>
      </c>
      <c r="K234" s="452">
        <f t="shared" si="311"/>
        <v>12.25</v>
      </c>
      <c r="L234" s="452">
        <f t="shared" si="312"/>
        <v>54.25</v>
      </c>
      <c r="M234" s="452"/>
      <c r="N234" s="222">
        <f t="shared" si="313"/>
        <v>0.22580645161290322</v>
      </c>
      <c r="O234" s="177">
        <f t="shared" si="314"/>
        <v>11.36605459057072</v>
      </c>
      <c r="P234" s="177">
        <f t="shared" si="315"/>
        <v>11.543649193548385</v>
      </c>
      <c r="Q234" s="222">
        <f t="shared" si="316"/>
        <v>0.94717121588089326</v>
      </c>
      <c r="R234" s="222">
        <f t="shared" si="317"/>
        <v>0.94717121588089326</v>
      </c>
      <c r="S234" s="222">
        <f t="shared" si="318"/>
        <v>12</v>
      </c>
      <c r="T234" s="222">
        <f t="shared" si="319"/>
        <v>0.55407089151450051</v>
      </c>
      <c r="U234" s="222">
        <f t="shared" si="320"/>
        <v>9.2345148585750089E-2</v>
      </c>
      <c r="V234" s="222">
        <f t="shared" si="321"/>
        <v>0.31661193800828602</v>
      </c>
      <c r="W234" s="202">
        <f t="shared" si="322"/>
        <v>350</v>
      </c>
      <c r="X234" s="452">
        <f t="shared" si="323"/>
        <v>350</v>
      </c>
      <c r="Z234" s="222">
        <f t="shared" si="324"/>
        <v>3.8709677419354835</v>
      </c>
      <c r="AA234" s="178">
        <f t="shared" si="325"/>
        <v>2.2119815668202762</v>
      </c>
      <c r="AB234" s="178">
        <f t="shared" si="326"/>
        <v>0.92211638517569838</v>
      </c>
      <c r="AC234" s="178"/>
      <c r="AD234" s="178">
        <f t="shared" si="327"/>
        <v>0.46857142857142853</v>
      </c>
      <c r="AE234" s="560">
        <f t="shared" si="328"/>
        <v>666.27007733491985</v>
      </c>
      <c r="AF234" s="543">
        <f t="shared" si="329"/>
        <v>6.723999999999998E-2</v>
      </c>
      <c r="AH234" s="178">
        <f t="shared" si="330"/>
        <v>1.4274281139196339</v>
      </c>
      <c r="AI234" s="178">
        <f t="shared" si="331"/>
        <v>1.4274281139196339</v>
      </c>
      <c r="AJ234" s="178">
        <f t="shared" si="332"/>
        <v>1.6499467510515806</v>
      </c>
      <c r="AL234" s="560">
        <f t="shared" si="333"/>
        <v>128</v>
      </c>
      <c r="AM234" s="470">
        <f t="shared" si="334"/>
        <v>350</v>
      </c>
      <c r="AO234">
        <f t="shared" si="335"/>
        <v>128</v>
      </c>
      <c r="AP234">
        <f t="shared" si="336"/>
        <v>350</v>
      </c>
      <c r="AR234" s="6">
        <f t="shared" si="300"/>
        <v>2.8571428571428572</v>
      </c>
      <c r="AS234" s="6">
        <f t="shared" si="291"/>
        <v>0.2379046856532723</v>
      </c>
      <c r="AT234" s="6">
        <f t="shared" si="292"/>
        <v>2.6192381714895849</v>
      </c>
      <c r="AU234" s="178">
        <f t="shared" si="293"/>
        <v>8.3266639978645307E-2</v>
      </c>
      <c r="AW234" s="6">
        <f>L*Iout^2/(2*Vripple1_spec*Vout*Npri_sec1^2)*1000000000*((1+N234)/(1-N234))^2</f>
        <v>3.8996913580246928</v>
      </c>
      <c r="AX234" s="6">
        <f>L*F234^2/(2*Cout*Vout*Nps^2)*1000000000*((1+N234)/(1-N234))^2+F234*RCoutEsr</f>
        <v>0.63889046493301827</v>
      </c>
      <c r="AY234" s="6">
        <f>L*Iout2^2/(2*Vout_ripple2*Vout2*Npri_sec2^2)*1000000000*((1+N234)/(1-N234))^2</f>
        <v>1.5233169367283956</v>
      </c>
      <c r="AZ234" s="6">
        <f>L*G234^2/(2*Cout2*Vout2*Npri_sec2^2)*1000000000*((1+N234)/(1-N234))^2+G234*CoutEsr2</f>
        <v>0.33956658786446026</v>
      </c>
      <c r="BA234" s="6">
        <f>(H234+I234)/Efficiency/J234*AT234/Vinripple1</f>
        <v>0.24274086980555107</v>
      </c>
      <c r="BB234" s="6"/>
      <c r="CE234" s="577">
        <f t="shared" si="337"/>
        <v>-50</v>
      </c>
    </row>
    <row r="235" spans="5:83" x14ac:dyDescent="0.2">
      <c r="E235" s="175">
        <v>17</v>
      </c>
      <c r="F235" s="222">
        <f t="shared" si="338"/>
        <v>0.13600000000000001</v>
      </c>
      <c r="G235" s="222">
        <f t="shared" si="307"/>
        <v>8.5000000000000006E-2</v>
      </c>
      <c r="H235" s="222">
        <f t="shared" si="308"/>
        <v>1.6320000000000001</v>
      </c>
      <c r="I235" s="222">
        <f t="shared" si="309"/>
        <v>1.02</v>
      </c>
      <c r="J235" s="556">
        <f t="shared" si="310"/>
        <v>42</v>
      </c>
      <c r="K235" s="452">
        <f t="shared" si="311"/>
        <v>12.25</v>
      </c>
      <c r="L235" s="452">
        <f t="shared" si="312"/>
        <v>54.25</v>
      </c>
      <c r="M235" s="452"/>
      <c r="N235" s="222">
        <f t="shared" si="313"/>
        <v>0.22580645161290322</v>
      </c>
      <c r="O235" s="177">
        <f t="shared" si="314"/>
        <v>11.36605459057072</v>
      </c>
      <c r="P235" s="177">
        <f t="shared" si="315"/>
        <v>11.543649193548385</v>
      </c>
      <c r="Q235" s="222">
        <f t="shared" si="316"/>
        <v>0.94717121588089326</v>
      </c>
      <c r="R235" s="222">
        <f t="shared" si="317"/>
        <v>0.94717121588089326</v>
      </c>
      <c r="S235" s="222">
        <f t="shared" si="318"/>
        <v>12</v>
      </c>
      <c r="T235" s="222">
        <f t="shared" si="319"/>
        <v>0.5887003222341568</v>
      </c>
      <c r="U235" s="222">
        <f t="shared" si="320"/>
        <v>9.8116720372359467E-2</v>
      </c>
      <c r="V235" s="222">
        <f t="shared" si="321"/>
        <v>0.3364001841338039</v>
      </c>
      <c r="W235" s="202">
        <f t="shared" si="322"/>
        <v>350</v>
      </c>
      <c r="X235" s="452">
        <f t="shared" si="323"/>
        <v>350</v>
      </c>
      <c r="Z235" s="222">
        <f t="shared" si="324"/>
        <v>3.8709677419354835</v>
      </c>
      <c r="AA235" s="178">
        <f t="shared" si="325"/>
        <v>2.2119815668202762</v>
      </c>
      <c r="AB235" s="178">
        <f t="shared" si="326"/>
        <v>0.92211638517569838</v>
      </c>
      <c r="AC235" s="178"/>
      <c r="AD235" s="178">
        <f t="shared" si="327"/>
        <v>0.46857142857142853</v>
      </c>
      <c r="AE235" s="560">
        <f t="shared" si="328"/>
        <v>707.91195716835227</v>
      </c>
      <c r="AF235" s="543">
        <f t="shared" si="329"/>
        <v>6.723999999999998E-2</v>
      </c>
      <c r="AH235" s="178">
        <f t="shared" si="330"/>
        <v>1.4713592216667122</v>
      </c>
      <c r="AI235" s="178">
        <f t="shared" si="331"/>
        <v>1.4713592216667122</v>
      </c>
      <c r="AJ235" s="178">
        <f t="shared" si="332"/>
        <v>1.6824883123457126</v>
      </c>
      <c r="AL235" s="560">
        <f t="shared" si="333"/>
        <v>136</v>
      </c>
      <c r="AM235" s="470">
        <f t="shared" si="334"/>
        <v>350</v>
      </c>
      <c r="AO235">
        <f t="shared" si="335"/>
        <v>136</v>
      </c>
      <c r="AP235">
        <f t="shared" si="336"/>
        <v>350</v>
      </c>
      <c r="AR235" s="6">
        <f t="shared" si="300"/>
        <v>2.8571428571428572</v>
      </c>
      <c r="AS235" s="6">
        <f t="shared" si="291"/>
        <v>0.24522653694445201</v>
      </c>
      <c r="AT235" s="6">
        <f t="shared" si="292"/>
        <v>2.611916320198405</v>
      </c>
      <c r="AU235" s="178">
        <f t="shared" si="293"/>
        <v>8.5829287930558204E-2</v>
      </c>
      <c r="AW235" s="6">
        <f>L*Iout^2/(2*Vripple1_spec*Vout*Npri_sec1^2)*1000000000*((1+N235)/(1-N235))^2</f>
        <v>3.8996913580246928</v>
      </c>
      <c r="AX235" s="6">
        <f>L*F235^2/(2*Cout*Vout*Nps^2)*1000000000*((1+N235)/(1-N235))^2+F235*RCoutEsr</f>
        <v>0.69574743892829005</v>
      </c>
      <c r="AY235" s="6">
        <f>L*Iout2^2/(2*Vout_ripple2*Vout2*Npri_sec2^2)*1000000000*((1+N235)/(1-N235))^2</f>
        <v>1.5233169367283956</v>
      </c>
      <c r="AZ235" s="6">
        <f>L*G235^2/(2*Cout2*Vout2*Npri_sec2^2)*1000000000*((1+N235)/(1-N235))^2+G235*CoutEsr2</f>
        <v>0.36740134333136332</v>
      </c>
      <c r="BA235" s="6">
        <f>(H235+I235)/Efficiency/J235*AT235/Vinripple1</f>
        <v>0.25719120323646782</v>
      </c>
      <c r="BB235" s="6"/>
      <c r="CE235" s="577">
        <f t="shared" si="337"/>
        <v>-50</v>
      </c>
    </row>
    <row r="236" spans="5:83" x14ac:dyDescent="0.2">
      <c r="E236" s="175">
        <v>18</v>
      </c>
      <c r="F236" s="222">
        <f t="shared" si="338"/>
        <v>0.14399999999999999</v>
      </c>
      <c r="G236" s="222">
        <f t="shared" si="307"/>
        <v>0.09</v>
      </c>
      <c r="H236" s="222">
        <f t="shared" si="308"/>
        <v>1.7279999999999998</v>
      </c>
      <c r="I236" s="222">
        <f t="shared" si="309"/>
        <v>1.08</v>
      </c>
      <c r="J236" s="556">
        <f t="shared" si="310"/>
        <v>42</v>
      </c>
      <c r="K236" s="452">
        <f t="shared" si="311"/>
        <v>12.25</v>
      </c>
      <c r="L236" s="452">
        <f t="shared" si="312"/>
        <v>54.25</v>
      </c>
      <c r="M236" s="452"/>
      <c r="N236" s="222">
        <f t="shared" si="313"/>
        <v>0.22580645161290322</v>
      </c>
      <c r="O236" s="177">
        <f t="shared" si="314"/>
        <v>11.36605459057072</v>
      </c>
      <c r="P236" s="177">
        <f t="shared" si="315"/>
        <v>11.543649193548385</v>
      </c>
      <c r="Q236" s="222">
        <f t="shared" si="316"/>
        <v>0.94717121588089326</v>
      </c>
      <c r="R236" s="222">
        <f t="shared" si="317"/>
        <v>0.94717121588089326</v>
      </c>
      <c r="S236" s="222">
        <f t="shared" si="318"/>
        <v>12</v>
      </c>
      <c r="T236" s="222">
        <f t="shared" si="319"/>
        <v>0.6233297529538131</v>
      </c>
      <c r="U236" s="222">
        <f t="shared" si="320"/>
        <v>0.10388829215896885</v>
      </c>
      <c r="V236" s="222">
        <f t="shared" si="321"/>
        <v>0.35618843025932184</v>
      </c>
      <c r="W236" s="202">
        <f t="shared" si="322"/>
        <v>350</v>
      </c>
      <c r="X236" s="452">
        <f t="shared" si="323"/>
        <v>350</v>
      </c>
      <c r="Z236" s="222">
        <f t="shared" si="324"/>
        <v>3.8709677419354835</v>
      </c>
      <c r="AA236" s="178">
        <f t="shared" si="325"/>
        <v>2.2119815668202762</v>
      </c>
      <c r="AB236" s="178">
        <f t="shared" si="326"/>
        <v>0.92211638517569838</v>
      </c>
      <c r="AC236" s="178"/>
      <c r="AD236" s="178">
        <f t="shared" si="327"/>
        <v>0.46857142857142853</v>
      </c>
      <c r="AE236" s="560">
        <f t="shared" si="328"/>
        <v>749.5538370017847</v>
      </c>
      <c r="AF236" s="543">
        <f t="shared" si="329"/>
        <v>6.723999999999998E-2</v>
      </c>
      <c r="AH236" s="178">
        <f t="shared" si="330"/>
        <v>1.514016148513345</v>
      </c>
      <c r="AI236" s="178">
        <f t="shared" si="331"/>
        <v>1.514016148513345</v>
      </c>
      <c r="AJ236" s="178">
        <f t="shared" si="332"/>
        <v>1.7140860359358112</v>
      </c>
      <c r="AL236" s="560">
        <f t="shared" si="333"/>
        <v>144</v>
      </c>
      <c r="AM236" s="470">
        <f t="shared" si="334"/>
        <v>350</v>
      </c>
      <c r="AO236">
        <f t="shared" si="335"/>
        <v>144</v>
      </c>
      <c r="AP236">
        <f t="shared" si="336"/>
        <v>350</v>
      </c>
      <c r="AR236" s="6">
        <f t="shared" si="300"/>
        <v>2.8571428571428572</v>
      </c>
      <c r="AS236" s="6">
        <f t="shared" si="291"/>
        <v>0.25233602475222416</v>
      </c>
      <c r="AT236" s="6">
        <f t="shared" si="292"/>
        <v>2.6048068323906328</v>
      </c>
      <c r="AU236" s="178">
        <f t="shared" si="293"/>
        <v>8.8317608663278452E-2</v>
      </c>
      <c r="AW236" s="6">
        <f>L*Iout^2/(2*Vripple1_spec*Vout*Npri_sec1^2)*1000000000*((1+N236)/(1-N236))^2</f>
        <v>3.8996913580246928</v>
      </c>
      <c r="AX236" s="6">
        <f>L*F236^2/(2*Cout*Vout*Nps^2)*1000000000*((1+N236)/(1-N236))^2+F236*RCoutEsr</f>
        <v>0.75459574468085111</v>
      </c>
      <c r="AY236" s="6">
        <f>L*Iout2^2/(2*Vout_ripple2*Vout2*Npri_sec2^2)*1000000000*((1+N236)/(1-N236))^2</f>
        <v>1.5233169367283956</v>
      </c>
      <c r="AZ236" s="6">
        <f>L*G236^2/(2*Cout2*Vout2*Npri_sec2^2)*1000000000*((1+N236)/(1-N236))^2+G236*CoutEsr2</f>
        <v>0.39601396276595746</v>
      </c>
      <c r="BA236" s="6">
        <f>(H236+I236)/Efficiency/J236*AT236/Vinripple1</f>
        <v>0.27157885771290802</v>
      </c>
      <c r="BB236" s="6"/>
      <c r="CE236" s="577">
        <f t="shared" si="337"/>
        <v>-50</v>
      </c>
    </row>
    <row r="237" spans="5:83" x14ac:dyDescent="0.2">
      <c r="E237" s="175">
        <v>19</v>
      </c>
      <c r="F237" s="222">
        <f t="shared" si="338"/>
        <v>0.15200000000000002</v>
      </c>
      <c r="G237" s="222">
        <f t="shared" si="307"/>
        <v>9.5000000000000001E-2</v>
      </c>
      <c r="H237" s="222">
        <f t="shared" si="308"/>
        <v>1.8240000000000003</v>
      </c>
      <c r="I237" s="222">
        <f t="shared" si="309"/>
        <v>1.1400000000000001</v>
      </c>
      <c r="J237" s="556">
        <f t="shared" si="310"/>
        <v>42</v>
      </c>
      <c r="K237" s="452">
        <f t="shared" si="311"/>
        <v>12.25</v>
      </c>
      <c r="L237" s="452">
        <f t="shared" si="312"/>
        <v>54.25</v>
      </c>
      <c r="M237" s="452"/>
      <c r="N237" s="222">
        <f t="shared" si="313"/>
        <v>0.22580645161290322</v>
      </c>
      <c r="O237" s="177">
        <f t="shared" si="314"/>
        <v>11.36605459057072</v>
      </c>
      <c r="P237" s="177">
        <f t="shared" si="315"/>
        <v>11.543649193548385</v>
      </c>
      <c r="Q237" s="222">
        <f t="shared" si="316"/>
        <v>0.94717121588089326</v>
      </c>
      <c r="R237" s="222">
        <f t="shared" si="317"/>
        <v>0.94717121588089326</v>
      </c>
      <c r="S237" s="222">
        <f t="shared" si="318"/>
        <v>12</v>
      </c>
      <c r="T237" s="222">
        <f t="shared" si="319"/>
        <v>0.65795918367346951</v>
      </c>
      <c r="U237" s="222">
        <f t="shared" si="320"/>
        <v>0.10965986394557825</v>
      </c>
      <c r="V237" s="222">
        <f t="shared" si="321"/>
        <v>0.37597667638483973</v>
      </c>
      <c r="W237" s="202">
        <f t="shared" si="322"/>
        <v>350</v>
      </c>
      <c r="X237" s="452">
        <f t="shared" si="323"/>
        <v>350</v>
      </c>
      <c r="Z237" s="222">
        <f t="shared" si="324"/>
        <v>3.8709677419354835</v>
      </c>
      <c r="AA237" s="178">
        <f t="shared" si="325"/>
        <v>2.2119815668202762</v>
      </c>
      <c r="AB237" s="178">
        <f t="shared" si="326"/>
        <v>0.92211638517569838</v>
      </c>
      <c r="AC237" s="178"/>
      <c r="AD237" s="178">
        <f t="shared" si="327"/>
        <v>0.46857142857142853</v>
      </c>
      <c r="AE237" s="560">
        <f t="shared" si="328"/>
        <v>791.19571683521747</v>
      </c>
      <c r="AF237" s="543">
        <f t="shared" si="329"/>
        <v>6.723999999999998E-2</v>
      </c>
      <c r="AH237" s="178">
        <f t="shared" si="330"/>
        <v>1.5555037244361372</v>
      </c>
      <c r="AI237" s="178">
        <f t="shared" si="331"/>
        <v>1.5555037244361372</v>
      </c>
      <c r="AJ237" s="178">
        <f t="shared" si="332"/>
        <v>1.7448175736563978</v>
      </c>
      <c r="AL237" s="560">
        <f t="shared" si="333"/>
        <v>152.00000000000003</v>
      </c>
      <c r="AM237" s="470">
        <f t="shared" si="334"/>
        <v>350</v>
      </c>
      <c r="AO237">
        <f t="shared" si="335"/>
        <v>152.00000000000003</v>
      </c>
      <c r="AP237">
        <f t="shared" si="336"/>
        <v>350</v>
      </c>
      <c r="AR237" s="6">
        <f t="shared" si="300"/>
        <v>2.8571428571428572</v>
      </c>
      <c r="AS237" s="6">
        <f t="shared" si="291"/>
        <v>0.25925062073935617</v>
      </c>
      <c r="AT237" s="6">
        <f t="shared" si="292"/>
        <v>2.5978922364035011</v>
      </c>
      <c r="AU237" s="178">
        <f t="shared" si="293"/>
        <v>9.0737717258774664E-2</v>
      </c>
      <c r="AW237" s="6">
        <f>L*Iout^2/(2*Vripple1_spec*Vout*Npri_sec1^2)*1000000000*((1+N237)/(1-N237))^2</f>
        <v>3.8996913580246928</v>
      </c>
      <c r="AX237" s="6">
        <f>L*F237^2/(2*Cout*Vout*Nps^2)*1000000000*((1+N237)/(1-N237))^2+F237*RCoutEsr</f>
        <v>0.81543538219070155</v>
      </c>
      <c r="AY237" s="6">
        <f>L*Iout2^2/(2*Vout_ripple2*Vout2*Npri_sec2^2)*1000000000*((1+N237)/(1-N237))^2</f>
        <v>1.5233169367283956</v>
      </c>
      <c r="AZ237" s="6">
        <f>L*G237^2/(2*Cout2*Vout2*Npri_sec2^2)*1000000000*((1+N237)/(1-N237))^2+G237*CoutEsr2</f>
        <v>0.4254044461682428</v>
      </c>
      <c r="BA237" s="6">
        <f>(H237+I237)/Efficiency/J237*AT237/Vinripple1</f>
        <v>0.28590560062006792</v>
      </c>
      <c r="BB237" s="6"/>
      <c r="CE237" s="577">
        <f t="shared" si="337"/>
        <v>-50</v>
      </c>
    </row>
    <row r="238" spans="5:83" x14ac:dyDescent="0.2">
      <c r="E238" s="175">
        <v>20</v>
      </c>
      <c r="F238" s="222">
        <f t="shared" si="338"/>
        <v>0.16000000000000003</v>
      </c>
      <c r="G238" s="222">
        <f t="shared" si="307"/>
        <v>0.1</v>
      </c>
      <c r="H238" s="222">
        <f t="shared" si="308"/>
        <v>1.9200000000000004</v>
      </c>
      <c r="I238" s="222">
        <f t="shared" si="309"/>
        <v>1.2000000000000002</v>
      </c>
      <c r="J238" s="556">
        <f t="shared" si="310"/>
        <v>42</v>
      </c>
      <c r="K238" s="452">
        <f t="shared" si="311"/>
        <v>12.25</v>
      </c>
      <c r="L238" s="452">
        <f t="shared" si="312"/>
        <v>54.25</v>
      </c>
      <c r="M238" s="452"/>
      <c r="N238" s="222">
        <f t="shared" si="313"/>
        <v>0.22580645161290322</v>
      </c>
      <c r="O238" s="177">
        <f t="shared" si="314"/>
        <v>11.36605459057072</v>
      </c>
      <c r="P238" s="177">
        <f t="shared" si="315"/>
        <v>11.543649193548385</v>
      </c>
      <c r="Q238" s="222">
        <f t="shared" si="316"/>
        <v>0.94717121588089326</v>
      </c>
      <c r="R238" s="222">
        <f t="shared" si="317"/>
        <v>0.94717121588089326</v>
      </c>
      <c r="S238" s="222">
        <f t="shared" si="318"/>
        <v>12</v>
      </c>
      <c r="T238" s="222">
        <f t="shared" si="319"/>
        <v>0.6925886143931258</v>
      </c>
      <c r="U238" s="222">
        <f t="shared" si="320"/>
        <v>0.11543143573218763</v>
      </c>
      <c r="V238" s="222">
        <f t="shared" si="321"/>
        <v>0.39576492251035755</v>
      </c>
      <c r="W238" s="202">
        <f t="shared" si="322"/>
        <v>350</v>
      </c>
      <c r="X238" s="452">
        <f t="shared" si="323"/>
        <v>350</v>
      </c>
      <c r="Z238" s="222">
        <f t="shared" si="324"/>
        <v>3.8709677419354835</v>
      </c>
      <c r="AA238" s="178">
        <f t="shared" si="325"/>
        <v>2.2119815668202762</v>
      </c>
      <c r="AB238" s="178">
        <f t="shared" si="326"/>
        <v>0.92211638517569838</v>
      </c>
      <c r="AC238" s="178"/>
      <c r="AD238" s="178">
        <f t="shared" si="327"/>
        <v>0.46857142857142853</v>
      </c>
      <c r="AE238" s="560">
        <f t="shared" si="328"/>
        <v>832.83759666864989</v>
      </c>
      <c r="AF238" s="543">
        <f t="shared" si="329"/>
        <v>6.723999999999998E-2</v>
      </c>
      <c r="AH238" s="178">
        <f t="shared" si="330"/>
        <v>1.5959131478593076</v>
      </c>
      <c r="AI238" s="178">
        <f t="shared" si="331"/>
        <v>1.5959131478593076</v>
      </c>
      <c r="AJ238" s="178">
        <f t="shared" si="332"/>
        <v>1.7747504798957834</v>
      </c>
      <c r="AL238" s="560">
        <f t="shared" si="333"/>
        <v>160.00000000000003</v>
      </c>
      <c r="AM238" s="470">
        <f t="shared" si="334"/>
        <v>350</v>
      </c>
      <c r="AO238">
        <f t="shared" si="335"/>
        <v>160.00000000000003</v>
      </c>
      <c r="AP238">
        <f t="shared" si="336"/>
        <v>350</v>
      </c>
      <c r="AR238" s="6">
        <f t="shared" si="300"/>
        <v>2.8571428571428572</v>
      </c>
      <c r="AS238" s="6">
        <f t="shared" si="291"/>
        <v>0.26598552464321795</v>
      </c>
      <c r="AT238" s="6">
        <f t="shared" si="292"/>
        <v>2.5911573324996393</v>
      </c>
      <c r="AU238" s="178">
        <f t="shared" si="293"/>
        <v>9.3094933625126275E-2</v>
      </c>
      <c r="AW238" s="6">
        <f>L*Iout^2/(2*Vripple1_spec*Vout*Npri_sec1^2)*1000000000*((1+N238)/(1-N238))^2</f>
        <v>3.8996913580246928</v>
      </c>
      <c r="AX238" s="6">
        <f>L*F238^2/(2*Cout*Vout*Nps^2)*1000000000*((1+N238)/(1-N238))^2+F238*RCoutEsr</f>
        <v>0.87826635145784115</v>
      </c>
      <c r="AY238" s="6">
        <f>L*Iout2^2/(2*Vout_ripple2*Vout2*Npri_sec2^2)*1000000000*((1+N238)/(1-N238))^2</f>
        <v>1.5233169367283956</v>
      </c>
      <c r="AZ238" s="6">
        <f>L*G238^2/(2*Cout2*Vout2*Npri_sec2^2)*1000000000*((1+N238)/(1-N238))^2+G238*CoutEsr2</f>
        <v>0.45557279353821922</v>
      </c>
      <c r="BA238" s="6">
        <f>(H238+I238)/Efficiency/J238*AT238/Vinripple1</f>
        <v>0.3001730577331802</v>
      </c>
      <c r="BB238" s="6"/>
      <c r="CE238" s="577">
        <f t="shared" si="337"/>
        <v>-50</v>
      </c>
    </row>
    <row r="239" spans="5:83" x14ac:dyDescent="0.2">
      <c r="E239" s="175">
        <v>21</v>
      </c>
      <c r="F239" s="222">
        <f t="shared" si="338"/>
        <v>0.16800000000000001</v>
      </c>
      <c r="G239" s="222">
        <f t="shared" si="307"/>
        <v>0.105</v>
      </c>
      <c r="H239" s="222">
        <f t="shared" si="308"/>
        <v>2.016</v>
      </c>
      <c r="I239" s="222">
        <f t="shared" si="309"/>
        <v>1.26</v>
      </c>
      <c r="J239" s="556">
        <f t="shared" si="310"/>
        <v>42</v>
      </c>
      <c r="K239" s="452">
        <f t="shared" si="311"/>
        <v>12.25</v>
      </c>
      <c r="L239" s="452">
        <f t="shared" si="312"/>
        <v>54.25</v>
      </c>
      <c r="M239" s="452"/>
      <c r="N239" s="222">
        <f t="shared" si="313"/>
        <v>0.22580645161290322</v>
      </c>
      <c r="O239" s="177">
        <f t="shared" si="314"/>
        <v>11.36605459057072</v>
      </c>
      <c r="P239" s="177">
        <f t="shared" si="315"/>
        <v>11.543649193548385</v>
      </c>
      <c r="Q239" s="222">
        <f t="shared" si="316"/>
        <v>0.94717121588089326</v>
      </c>
      <c r="R239" s="222">
        <f t="shared" si="317"/>
        <v>0.94717121588089326</v>
      </c>
      <c r="S239" s="222">
        <f t="shared" si="318"/>
        <v>12</v>
      </c>
      <c r="T239" s="222">
        <f t="shared" si="319"/>
        <v>0.72721804511278187</v>
      </c>
      <c r="U239" s="222">
        <f t="shared" si="320"/>
        <v>0.12120300751879699</v>
      </c>
      <c r="V239" s="222">
        <f t="shared" si="321"/>
        <v>0.41555316863587533</v>
      </c>
      <c r="W239" s="202">
        <f t="shared" si="322"/>
        <v>350</v>
      </c>
      <c r="X239" s="452">
        <f t="shared" si="323"/>
        <v>350</v>
      </c>
      <c r="Z239" s="222">
        <f t="shared" si="324"/>
        <v>3.8709677419354835</v>
      </c>
      <c r="AA239" s="178">
        <f t="shared" si="325"/>
        <v>2.2119815668202762</v>
      </c>
      <c r="AB239" s="178">
        <f t="shared" si="326"/>
        <v>0.92211638517569838</v>
      </c>
      <c r="AC239" s="178"/>
      <c r="AD239" s="178">
        <f t="shared" si="327"/>
        <v>0.46857142857142853</v>
      </c>
      <c r="AE239" s="560">
        <f t="shared" si="328"/>
        <v>874.47947650208232</v>
      </c>
      <c r="AF239" s="543">
        <f t="shared" si="329"/>
        <v>6.723999999999998E-2</v>
      </c>
      <c r="AH239" s="178">
        <f t="shared" si="330"/>
        <v>1.6353243452861925</v>
      </c>
      <c r="AI239" s="178">
        <f t="shared" si="331"/>
        <v>1.6353243452861925</v>
      </c>
      <c r="AJ239" s="178">
        <f t="shared" si="332"/>
        <v>1.8039439594712536</v>
      </c>
      <c r="AL239" s="560">
        <f t="shared" si="333"/>
        <v>168</v>
      </c>
      <c r="AM239" s="470">
        <f t="shared" si="334"/>
        <v>350</v>
      </c>
      <c r="AO239">
        <f t="shared" si="335"/>
        <v>168</v>
      </c>
      <c r="AP239">
        <f t="shared" si="336"/>
        <v>350</v>
      </c>
      <c r="AR239" s="6">
        <f t="shared" si="300"/>
        <v>2.8571428571428572</v>
      </c>
      <c r="AS239" s="6">
        <f t="shared" si="291"/>
        <v>0.27255405754769874</v>
      </c>
      <c r="AT239" s="6">
        <f t="shared" si="292"/>
        <v>2.5845887995951586</v>
      </c>
      <c r="AU239" s="178">
        <f t="shared" si="293"/>
        <v>9.5393920141694552E-2</v>
      </c>
      <c r="AW239" s="6">
        <f>L*Iout^2/(2*Vripple1_spec*Vout*Npri_sec1^2)*1000000000*((1+N239)/(1-N239))^2</f>
        <v>3.8996913580246928</v>
      </c>
      <c r="AX239" s="6">
        <f>L*F239^2/(2*Cout*Vout*Nps^2)*1000000000*((1+N239)/(1-N239))^2+F239*RCoutEsr</f>
        <v>0.9430886524822697</v>
      </c>
      <c r="AY239" s="6">
        <f>L*Iout2^2/(2*Vout_ripple2*Vout2*Npri_sec2^2)*1000000000*((1+N239)/(1-N239))^2</f>
        <v>1.5233169367283956</v>
      </c>
      <c r="AZ239" s="6">
        <f>L*G239^2/(2*Cout2*Vout2*Npri_sec2^2)*1000000000*((1+N239)/(1-N239))^2+G239*CoutEsr2</f>
        <v>0.48651900487588651</v>
      </c>
      <c r="BA239" s="6">
        <f>(H239+I239)/Efficiency/J239*AT239/Vinripple1</f>
        <v>0.31438273117882626</v>
      </c>
      <c r="BB239" s="6"/>
      <c r="CE239" s="577">
        <f t="shared" si="337"/>
        <v>-50</v>
      </c>
    </row>
    <row r="240" spans="5:83" x14ac:dyDescent="0.2">
      <c r="E240" s="175">
        <v>22</v>
      </c>
      <c r="F240" s="222">
        <f t="shared" si="338"/>
        <v>0.17600000000000002</v>
      </c>
      <c r="G240" s="222">
        <f t="shared" si="307"/>
        <v>0.11</v>
      </c>
      <c r="H240" s="222">
        <f t="shared" si="308"/>
        <v>2.1120000000000001</v>
      </c>
      <c r="I240" s="222">
        <f t="shared" si="309"/>
        <v>1.32</v>
      </c>
      <c r="J240" s="556">
        <f t="shared" si="310"/>
        <v>42</v>
      </c>
      <c r="K240" s="452">
        <f t="shared" si="311"/>
        <v>12.25</v>
      </c>
      <c r="L240" s="452">
        <f t="shared" si="312"/>
        <v>54.25</v>
      </c>
      <c r="M240" s="452"/>
      <c r="N240" s="222">
        <f t="shared" si="313"/>
        <v>0.22580645161290322</v>
      </c>
      <c r="O240" s="177">
        <f t="shared" si="314"/>
        <v>11.36605459057072</v>
      </c>
      <c r="P240" s="177">
        <f t="shared" si="315"/>
        <v>11.543649193548385</v>
      </c>
      <c r="Q240" s="222">
        <f t="shared" si="316"/>
        <v>0.94717121588089326</v>
      </c>
      <c r="R240" s="222">
        <f t="shared" si="317"/>
        <v>0.94717121588089326</v>
      </c>
      <c r="S240" s="222">
        <f t="shared" si="318"/>
        <v>12</v>
      </c>
      <c r="T240" s="222">
        <f t="shared" si="319"/>
        <v>0.76184747583243828</v>
      </c>
      <c r="U240" s="222">
        <f t="shared" si="320"/>
        <v>0.12697457930540637</v>
      </c>
      <c r="V240" s="222">
        <f t="shared" si="321"/>
        <v>0.43534141476139326</v>
      </c>
      <c r="W240" s="202">
        <f t="shared" si="322"/>
        <v>350</v>
      </c>
      <c r="X240" s="452">
        <f t="shared" si="323"/>
        <v>350</v>
      </c>
      <c r="Z240" s="222">
        <f t="shared" si="324"/>
        <v>3.8709677419354835</v>
      </c>
      <c r="AA240" s="178">
        <f t="shared" si="325"/>
        <v>2.2119815668202762</v>
      </c>
      <c r="AB240" s="178">
        <f t="shared" si="326"/>
        <v>0.92211638517569838</v>
      </c>
      <c r="AC240" s="178"/>
      <c r="AD240" s="178">
        <f t="shared" si="327"/>
        <v>0.46857142857142853</v>
      </c>
      <c r="AE240" s="560">
        <f t="shared" si="328"/>
        <v>916.12135633551475</v>
      </c>
      <c r="AF240" s="543">
        <f t="shared" si="329"/>
        <v>6.723999999999998E-2</v>
      </c>
      <c r="AH240" s="178">
        <f t="shared" si="330"/>
        <v>1.6738078303859212</v>
      </c>
      <c r="AI240" s="178">
        <f t="shared" si="331"/>
        <v>1.6738078303859212</v>
      </c>
      <c r="AJ240" s="178">
        <f t="shared" si="332"/>
        <v>1.8324502447303119</v>
      </c>
      <c r="AL240" s="560">
        <f t="shared" si="333"/>
        <v>176.00000000000003</v>
      </c>
      <c r="AM240" s="470">
        <f t="shared" si="334"/>
        <v>350</v>
      </c>
      <c r="AO240">
        <f t="shared" si="335"/>
        <v>176.00000000000003</v>
      </c>
      <c r="AP240">
        <f t="shared" si="336"/>
        <v>350</v>
      </c>
      <c r="AR240" s="6">
        <f t="shared" si="300"/>
        <v>2.8571428571428572</v>
      </c>
      <c r="AS240" s="6">
        <f t="shared" si="291"/>
        <v>0.27896797173098686</v>
      </c>
      <c r="AT240" s="6">
        <f t="shared" si="292"/>
        <v>2.5781748854118702</v>
      </c>
      <c r="AU240" s="178">
        <f t="shared" si="293"/>
        <v>9.7638790105845405E-2</v>
      </c>
      <c r="AW240" s="6">
        <f>L*Iout^2/(2*Vripple1_spec*Vout*Npri_sec1^2)*1000000000*((1+N240)/(1-N240))^2</f>
        <v>3.8996913580246928</v>
      </c>
      <c r="AX240" s="6">
        <f>L*F240^2/(2*Cout*Vout*Nps^2)*1000000000*((1+N240)/(1-N240))^2+F240*RCoutEsr</f>
        <v>1.0099022852639876</v>
      </c>
      <c r="AY240" s="6">
        <f>L*Iout2^2/(2*Vout_ripple2*Vout2*Npri_sec2^2)*1000000000*((1+N240)/(1-N240))^2</f>
        <v>1.5233169367283956</v>
      </c>
      <c r="AZ240" s="6">
        <f>L*G240^2/(2*Cout2*Vout2*Npri_sec2^2)*1000000000*((1+N240)/(1-N240))^2+G240*CoutEsr2</f>
        <v>0.51824308018124521</v>
      </c>
      <c r="BA240" s="6">
        <f>(H240+I240)/Efficiency/J240*AT240/Vinripple1</f>
        <v>0.3285360143593628</v>
      </c>
      <c r="BB240" s="6"/>
      <c r="CE240" s="577">
        <f t="shared" si="337"/>
        <v>-50</v>
      </c>
    </row>
    <row r="241" spans="5:83" x14ac:dyDescent="0.2">
      <c r="E241" s="175">
        <v>23</v>
      </c>
      <c r="F241" s="222">
        <f t="shared" si="338"/>
        <v>0.18400000000000002</v>
      </c>
      <c r="G241" s="222">
        <f t="shared" si="307"/>
        <v>0.115</v>
      </c>
      <c r="H241" s="222">
        <f t="shared" si="308"/>
        <v>2.2080000000000002</v>
      </c>
      <c r="I241" s="222">
        <f t="shared" si="309"/>
        <v>1.3800000000000001</v>
      </c>
      <c r="J241" s="556">
        <f t="shared" si="310"/>
        <v>42</v>
      </c>
      <c r="K241" s="452">
        <f t="shared" si="311"/>
        <v>12.25</v>
      </c>
      <c r="L241" s="452">
        <f t="shared" si="312"/>
        <v>54.25</v>
      </c>
      <c r="M241" s="452"/>
      <c r="N241" s="222">
        <f t="shared" si="313"/>
        <v>0.22580645161290322</v>
      </c>
      <c r="O241" s="177">
        <f t="shared" si="314"/>
        <v>11.36605459057072</v>
      </c>
      <c r="P241" s="177">
        <f t="shared" si="315"/>
        <v>11.543649193548385</v>
      </c>
      <c r="Q241" s="222">
        <f t="shared" si="316"/>
        <v>0.94717121588089326</v>
      </c>
      <c r="R241" s="222">
        <f t="shared" si="317"/>
        <v>0.94717121588089326</v>
      </c>
      <c r="S241" s="222">
        <f t="shared" si="318"/>
        <v>12</v>
      </c>
      <c r="T241" s="222">
        <f t="shared" si="319"/>
        <v>0.79647690655209458</v>
      </c>
      <c r="U241" s="222">
        <f t="shared" si="320"/>
        <v>0.13274615109201576</v>
      </c>
      <c r="V241" s="222">
        <f t="shared" si="321"/>
        <v>0.45512966088691115</v>
      </c>
      <c r="W241" s="202">
        <f t="shared" si="322"/>
        <v>350</v>
      </c>
      <c r="X241" s="452">
        <f t="shared" si="323"/>
        <v>350</v>
      </c>
      <c r="Z241" s="222">
        <f t="shared" si="324"/>
        <v>3.8709677419354835</v>
      </c>
      <c r="AA241" s="178">
        <f t="shared" si="325"/>
        <v>2.2119815668202762</v>
      </c>
      <c r="AB241" s="178">
        <f t="shared" si="326"/>
        <v>0.92211638517569838</v>
      </c>
      <c r="AC241" s="178"/>
      <c r="AD241" s="178">
        <f t="shared" si="327"/>
        <v>0.46857142857142853</v>
      </c>
      <c r="AE241" s="560">
        <f t="shared" si="328"/>
        <v>957.76323616894729</v>
      </c>
      <c r="AF241" s="543">
        <f t="shared" si="329"/>
        <v>6.723999999999998E-2</v>
      </c>
      <c r="AH241" s="178">
        <f t="shared" si="330"/>
        <v>1.7114261864996501</v>
      </c>
      <c r="AI241" s="178">
        <f t="shared" si="331"/>
        <v>1.7114261864996501</v>
      </c>
      <c r="AJ241" s="178">
        <f t="shared" si="332"/>
        <v>1.8603156937034444</v>
      </c>
      <c r="AL241" s="560">
        <f t="shared" si="333"/>
        <v>184.00000000000003</v>
      </c>
      <c r="AM241" s="470">
        <f t="shared" si="334"/>
        <v>350</v>
      </c>
      <c r="AO241">
        <f t="shared" si="335"/>
        <v>184.00000000000003</v>
      </c>
      <c r="AP241">
        <f t="shared" si="336"/>
        <v>350</v>
      </c>
      <c r="AR241" s="6">
        <f t="shared" si="300"/>
        <v>2.8571428571428572</v>
      </c>
      <c r="AS241" s="6">
        <f t="shared" si="291"/>
        <v>0.28523769774994168</v>
      </c>
      <c r="AT241" s="6">
        <f t="shared" si="292"/>
        <v>2.5719051593929154</v>
      </c>
      <c r="AU241" s="178">
        <f t="shared" si="293"/>
        <v>9.983319421247959E-2</v>
      </c>
      <c r="AW241" s="6">
        <f>L*Iout^2/(2*Vripple1_spec*Vout*Npri_sec1^2)*1000000000*((1+N241)/(1-N241))^2</f>
        <v>3.8996913580246928</v>
      </c>
      <c r="AX241" s="6">
        <f>L*F241^2/(2*Cout*Vout*Nps^2)*1000000000*((1+N241)/(1-N241))^2+F241*RCoutEsr</f>
        <v>1.0787072498029948</v>
      </c>
      <c r="AY241" s="6">
        <f>L*Iout2^2/(2*Vout_ripple2*Vout2*Npri_sec2^2)*1000000000*((1+N241)/(1-N241))^2</f>
        <v>1.5233169367283956</v>
      </c>
      <c r="AZ241" s="6">
        <f>L*G241^2/(2*Cout2*Vout2*Npri_sec2^2)*1000000000*((1+N241)/(1-N241))^2+G241*CoutEsr2</f>
        <v>0.55074501945429477</v>
      </c>
      <c r="BA241" s="6">
        <f>(H241+I241)/Efficiency/J241*AT241/Vinripple1</f>
        <v>0.34263420447050141</v>
      </c>
      <c r="BB241" s="6"/>
      <c r="CE241" s="577">
        <f t="shared" si="337"/>
        <v>-50</v>
      </c>
    </row>
    <row r="242" spans="5:83" x14ac:dyDescent="0.2">
      <c r="E242" s="175">
        <v>24</v>
      </c>
      <c r="F242" s="222">
        <f t="shared" si="338"/>
        <v>0.192</v>
      </c>
      <c r="G242" s="222">
        <f t="shared" si="307"/>
        <v>0.12</v>
      </c>
      <c r="H242" s="222">
        <f t="shared" si="308"/>
        <v>2.3040000000000003</v>
      </c>
      <c r="I242" s="222">
        <f t="shared" si="309"/>
        <v>1.44</v>
      </c>
      <c r="J242" s="556">
        <f t="shared" si="310"/>
        <v>42</v>
      </c>
      <c r="K242" s="452">
        <f t="shared" si="311"/>
        <v>12.25</v>
      </c>
      <c r="L242" s="452">
        <f t="shared" si="312"/>
        <v>54.25</v>
      </c>
      <c r="M242" s="452"/>
      <c r="N242" s="222">
        <f t="shared" si="313"/>
        <v>0.22580645161290322</v>
      </c>
      <c r="O242" s="177">
        <f t="shared" si="314"/>
        <v>11.36605459057072</v>
      </c>
      <c r="P242" s="177">
        <f t="shared" si="315"/>
        <v>11.543649193548385</v>
      </c>
      <c r="Q242" s="222">
        <f t="shared" si="316"/>
        <v>0.94717121588089326</v>
      </c>
      <c r="R242" s="222">
        <f t="shared" si="317"/>
        <v>0.94717121588089326</v>
      </c>
      <c r="S242" s="222">
        <f t="shared" si="318"/>
        <v>12</v>
      </c>
      <c r="T242" s="222">
        <f t="shared" si="319"/>
        <v>0.83110633727175087</v>
      </c>
      <c r="U242" s="222">
        <f t="shared" si="320"/>
        <v>0.13851772287862515</v>
      </c>
      <c r="V242" s="222">
        <f t="shared" si="321"/>
        <v>0.47491790701242909</v>
      </c>
      <c r="W242" s="202">
        <f t="shared" si="322"/>
        <v>350</v>
      </c>
      <c r="X242" s="452">
        <f t="shared" si="323"/>
        <v>350</v>
      </c>
      <c r="Z242" s="222">
        <f t="shared" si="324"/>
        <v>3.8709677419354835</v>
      </c>
      <c r="AA242" s="178">
        <f t="shared" si="325"/>
        <v>2.2119815668202762</v>
      </c>
      <c r="AB242" s="178">
        <f t="shared" si="326"/>
        <v>0.92211638517569838</v>
      </c>
      <c r="AC242" s="178"/>
      <c r="AD242" s="178">
        <f t="shared" si="327"/>
        <v>0.46857142857142853</v>
      </c>
      <c r="AE242" s="560">
        <f t="shared" si="328"/>
        <v>999.40511600237983</v>
      </c>
      <c r="AF242" s="543">
        <f t="shared" si="329"/>
        <v>6.723999999999998E-2</v>
      </c>
      <c r="AH242" s="178">
        <f t="shared" si="330"/>
        <v>1.7482352618032404</v>
      </c>
      <c r="AI242" s="178">
        <f t="shared" si="331"/>
        <v>1.7482352618032404</v>
      </c>
      <c r="AJ242" s="178">
        <f t="shared" si="332"/>
        <v>1.8875816754098076</v>
      </c>
      <c r="AL242" s="560">
        <f t="shared" si="333"/>
        <v>192</v>
      </c>
      <c r="AM242" s="470">
        <f t="shared" si="334"/>
        <v>350</v>
      </c>
      <c r="AO242">
        <f t="shared" si="335"/>
        <v>192</v>
      </c>
      <c r="AP242">
        <f t="shared" si="336"/>
        <v>350</v>
      </c>
      <c r="AR242" s="6">
        <f t="shared" si="300"/>
        <v>2.8571428571428572</v>
      </c>
      <c r="AS242" s="6">
        <f t="shared" si="291"/>
        <v>0.29137254363387338</v>
      </c>
      <c r="AT242" s="6">
        <f t="shared" si="292"/>
        <v>2.5657703135089838</v>
      </c>
      <c r="AU242" s="178">
        <f t="shared" si="293"/>
        <v>0.10198039027185568</v>
      </c>
      <c r="AW242" s="6">
        <f>L*Iout^2/(2*Vripple1_spec*Vout*Npri_sec1^2)*1000000000*((1+N242)/(1-N242))^2</f>
        <v>3.8996913580246928</v>
      </c>
      <c r="AX242" s="6">
        <f>L*F242^2/(2*Cout*Vout*Nps^2)*1000000000*((1+N242)/(1-N242))^2+F242*RCoutEsr</f>
        <v>1.1495035460992911</v>
      </c>
      <c r="AY242" s="6">
        <f>L*Iout2^2/(2*Vout_ripple2*Vout2*Npri_sec2^2)*1000000000*((1+N242)/(1-N242))^2</f>
        <v>1.5233169367283956</v>
      </c>
      <c r="AZ242" s="6">
        <f>L*G242^2/(2*Cout2*Vout2*Npri_sec2^2)*1000000000*((1+N242)/(1-N242))^2+G242*CoutEsr2</f>
        <v>0.58402482269503553</v>
      </c>
      <c r="BA242" s="6">
        <f>(H242+I242)/Efficiency/J242*AT242/Vinripple1</f>
        <v>0.35667851308930237</v>
      </c>
      <c r="BB242" s="6"/>
      <c r="CE242" s="577">
        <f t="shared" si="337"/>
        <v>-50</v>
      </c>
    </row>
    <row r="243" spans="5:83" x14ac:dyDescent="0.2">
      <c r="E243" s="175">
        <v>25</v>
      </c>
      <c r="F243" s="222">
        <f t="shared" si="338"/>
        <v>0.2</v>
      </c>
      <c r="G243" s="222">
        <f t="shared" si="307"/>
        <v>0.125</v>
      </c>
      <c r="H243" s="222">
        <f t="shared" si="308"/>
        <v>2.4000000000000004</v>
      </c>
      <c r="I243" s="222">
        <f t="shared" si="309"/>
        <v>1.5</v>
      </c>
      <c r="J243" s="556">
        <f t="shared" si="310"/>
        <v>42</v>
      </c>
      <c r="K243" s="452">
        <f t="shared" si="311"/>
        <v>12.25</v>
      </c>
      <c r="L243" s="452">
        <f t="shared" si="312"/>
        <v>54.25</v>
      </c>
      <c r="M243" s="452"/>
      <c r="N243" s="222">
        <f t="shared" si="313"/>
        <v>0.22580645161290322</v>
      </c>
      <c r="O243" s="177">
        <f t="shared" si="314"/>
        <v>11.36605459057072</v>
      </c>
      <c r="P243" s="177">
        <f t="shared" si="315"/>
        <v>11.543649193548385</v>
      </c>
      <c r="Q243" s="222">
        <f t="shared" si="316"/>
        <v>0.94717121588089326</v>
      </c>
      <c r="R243" s="222">
        <f t="shared" si="317"/>
        <v>0.94717121588089326</v>
      </c>
      <c r="S243" s="222">
        <f t="shared" si="318"/>
        <v>12</v>
      </c>
      <c r="T243" s="222">
        <f t="shared" si="319"/>
        <v>0.86573576799140717</v>
      </c>
      <c r="U243" s="222">
        <f t="shared" si="320"/>
        <v>0.14428929466523452</v>
      </c>
      <c r="V243" s="222">
        <f t="shared" si="321"/>
        <v>0.49470615313794691</v>
      </c>
      <c r="W243" s="202">
        <f t="shared" si="322"/>
        <v>350</v>
      </c>
      <c r="X243" s="452">
        <f t="shared" si="323"/>
        <v>350</v>
      </c>
      <c r="Z243" s="222">
        <f t="shared" si="324"/>
        <v>3.8709677419354835</v>
      </c>
      <c r="AA243" s="178">
        <f t="shared" si="325"/>
        <v>2.2119815668202762</v>
      </c>
      <c r="AB243" s="178">
        <f t="shared" si="326"/>
        <v>0.92211638517569838</v>
      </c>
      <c r="AC243" s="178"/>
      <c r="AD243" s="178">
        <f t="shared" si="327"/>
        <v>0.46857142857142853</v>
      </c>
      <c r="AE243" s="560">
        <f t="shared" si="328"/>
        <v>1041.0469958358124</v>
      </c>
      <c r="AF243" s="543">
        <f t="shared" si="329"/>
        <v>6.723999999999998E-2</v>
      </c>
      <c r="AH243" s="178">
        <f t="shared" si="330"/>
        <v>1.7842851423995423</v>
      </c>
      <c r="AI243" s="178">
        <f t="shared" si="331"/>
        <v>1.7842851423995423</v>
      </c>
      <c r="AJ243" s="178">
        <f t="shared" si="332"/>
        <v>1.9142852906663277</v>
      </c>
      <c r="AL243" s="560">
        <f t="shared" si="333"/>
        <v>200</v>
      </c>
      <c r="AM243" s="470">
        <f t="shared" si="334"/>
        <v>350</v>
      </c>
      <c r="AO243">
        <f t="shared" si="335"/>
        <v>200</v>
      </c>
      <c r="AP243">
        <f t="shared" si="336"/>
        <v>350</v>
      </c>
      <c r="AR243" s="6">
        <f t="shared" si="300"/>
        <v>2.8571428571428572</v>
      </c>
      <c r="AS243" s="6">
        <f t="shared" si="291"/>
        <v>0.29738085706659034</v>
      </c>
      <c r="AT243" s="6">
        <f t="shared" si="292"/>
        <v>2.5597620000762671</v>
      </c>
      <c r="AU243" s="178">
        <f t="shared" si="293"/>
        <v>0.10408329997330662</v>
      </c>
      <c r="AW243" s="6">
        <f>L*Iout^2/(2*Vripple1_spec*Vout*Npri_sec1^2)*1000000000*((1+N243)/(1-N243))^2</f>
        <v>3.8996913580246928</v>
      </c>
      <c r="AX243" s="6">
        <f>L*F243^2/(2*Cout*Vout*Nps^2)*1000000000*((1+N243)/(1-N243))^2+F243*RCoutEsr</f>
        <v>1.2222911741528768</v>
      </c>
      <c r="AY243" s="6">
        <f>L*Iout2^2/(2*Vout_ripple2*Vout2*Npri_sec2^2)*1000000000*((1+N243)/(1-N243))^2</f>
        <v>1.5233169367283956</v>
      </c>
      <c r="AZ243" s="6">
        <f>L*G243^2/(2*Cout2*Vout2*Npri_sec2^2)*1000000000*((1+N243)/(1-N243))^2+G243*CoutEsr2</f>
        <v>0.61808248990346737</v>
      </c>
      <c r="BA243" s="6">
        <f>(H243+I243)/Efficiency/J243*AT243/Vinripple1</f>
        <v>0.3706700751990139</v>
      </c>
      <c r="BB243" s="6"/>
      <c r="CE243" s="577">
        <f t="shared" si="337"/>
        <v>-50</v>
      </c>
    </row>
    <row r="244" spans="5:83" x14ac:dyDescent="0.2">
      <c r="E244" s="175">
        <v>26</v>
      </c>
      <c r="F244" s="222">
        <f t="shared" si="338"/>
        <v>0.20800000000000002</v>
      </c>
      <c r="G244" s="222">
        <f t="shared" si="307"/>
        <v>0.13</v>
      </c>
      <c r="H244" s="222">
        <f t="shared" si="308"/>
        <v>2.4960000000000004</v>
      </c>
      <c r="I244" s="222">
        <f t="shared" si="309"/>
        <v>1.56</v>
      </c>
      <c r="J244" s="556">
        <f t="shared" si="310"/>
        <v>42</v>
      </c>
      <c r="K244" s="452">
        <f t="shared" si="311"/>
        <v>12.25</v>
      </c>
      <c r="L244" s="452">
        <f t="shared" si="312"/>
        <v>54.25</v>
      </c>
      <c r="M244" s="452"/>
      <c r="N244" s="222">
        <f t="shared" si="313"/>
        <v>0.22580645161290322</v>
      </c>
      <c r="O244" s="177">
        <f t="shared" si="314"/>
        <v>11.36605459057072</v>
      </c>
      <c r="P244" s="177">
        <f t="shared" si="315"/>
        <v>11.543649193548385</v>
      </c>
      <c r="Q244" s="222">
        <f t="shared" si="316"/>
        <v>0.94717121588089326</v>
      </c>
      <c r="R244" s="222">
        <f t="shared" si="317"/>
        <v>0.94717121588089326</v>
      </c>
      <c r="S244" s="222">
        <f t="shared" si="318"/>
        <v>12</v>
      </c>
      <c r="T244" s="222">
        <f t="shared" si="319"/>
        <v>0.90036519871106357</v>
      </c>
      <c r="U244" s="222">
        <f t="shared" si="320"/>
        <v>0.15006086645184394</v>
      </c>
      <c r="V244" s="222">
        <f t="shared" si="321"/>
        <v>0.51449439926346485</v>
      </c>
      <c r="W244" s="202">
        <f t="shared" si="322"/>
        <v>350</v>
      </c>
      <c r="X244" s="452">
        <f t="shared" si="323"/>
        <v>350</v>
      </c>
      <c r="Z244" s="222">
        <f t="shared" si="324"/>
        <v>3.8709677419354835</v>
      </c>
      <c r="AA244" s="178">
        <f t="shared" si="325"/>
        <v>2.2119815668202762</v>
      </c>
      <c r="AB244" s="178">
        <f t="shared" si="326"/>
        <v>0.92211638517569838</v>
      </c>
      <c r="AC244" s="178"/>
      <c r="AD244" s="178">
        <f t="shared" si="327"/>
        <v>0.46857142857142853</v>
      </c>
      <c r="AE244" s="560">
        <f t="shared" si="328"/>
        <v>1082.6888756692449</v>
      </c>
      <c r="AF244" s="543">
        <f t="shared" si="329"/>
        <v>6.723999999999998E-2</v>
      </c>
      <c r="AH244" s="178">
        <f t="shared" si="330"/>
        <v>1.8196209517817896</v>
      </c>
      <c r="AI244" s="178">
        <f t="shared" si="331"/>
        <v>1.8196209517817896</v>
      </c>
      <c r="AJ244" s="178">
        <f t="shared" si="332"/>
        <v>1.9404599642828071</v>
      </c>
      <c r="AL244" s="560">
        <f t="shared" si="333"/>
        <v>208.00000000000003</v>
      </c>
      <c r="AM244" s="470">
        <f t="shared" si="334"/>
        <v>350</v>
      </c>
      <c r="AO244">
        <f t="shared" si="335"/>
        <v>208.00000000000003</v>
      </c>
      <c r="AP244">
        <f t="shared" si="336"/>
        <v>350</v>
      </c>
      <c r="AR244" s="6">
        <f t="shared" si="300"/>
        <v>2.8571428571428572</v>
      </c>
      <c r="AS244" s="6">
        <f t="shared" si="291"/>
        <v>0.30327015863029827</v>
      </c>
      <c r="AT244" s="6">
        <f t="shared" si="292"/>
        <v>2.553872698512559</v>
      </c>
      <c r="AU244" s="178">
        <f t="shared" si="293"/>
        <v>0.10614455552060439</v>
      </c>
      <c r="AW244" s="6">
        <f>L*Iout^2/(2*Vripple1_spec*Vout*Npri_sec1^2)*1000000000*((1+N244)/(1-N244))^2</f>
        <v>3.8996913580246928</v>
      </c>
      <c r="AX244" s="6">
        <f>L*F244^2/(2*Cout*Vout*Nps^2)*1000000000*((1+N244)/(1-N244))^2+F244*RCoutEsr</f>
        <v>1.2970701339637514</v>
      </c>
      <c r="AY244" s="6">
        <f>L*Iout2^2/(2*Vout_ripple2*Vout2*Npri_sec2^2)*1000000000*((1+N244)/(1-N244))^2</f>
        <v>1.5233169367283956</v>
      </c>
      <c r="AZ244" s="6">
        <f>L*G244^2/(2*Cout2*Vout2*Npri_sec2^2)*1000000000*((1+N244)/(1-N244))^2+G244*CoutEsr2</f>
        <v>0.6529180210795904</v>
      </c>
      <c r="BA244" s="6">
        <f>(H244+I244)/Efficiency/J244*AT244/Vinripple1</f>
        <v>0.38460995693555894</v>
      </c>
      <c r="BB244" s="6"/>
      <c r="CE244" s="577">
        <f t="shared" si="337"/>
        <v>-50</v>
      </c>
    </row>
    <row r="245" spans="5:83" x14ac:dyDescent="0.2">
      <c r="E245" s="175">
        <v>27</v>
      </c>
      <c r="F245" s="222">
        <f t="shared" si="338"/>
        <v>0.21600000000000003</v>
      </c>
      <c r="G245" s="222">
        <f t="shared" si="307"/>
        <v>0.13500000000000001</v>
      </c>
      <c r="H245" s="222">
        <f t="shared" si="308"/>
        <v>2.5920000000000005</v>
      </c>
      <c r="I245" s="222">
        <f t="shared" si="309"/>
        <v>1.62</v>
      </c>
      <c r="J245" s="556">
        <f t="shared" si="310"/>
        <v>42</v>
      </c>
      <c r="K245" s="452">
        <f t="shared" si="311"/>
        <v>12.25</v>
      </c>
      <c r="L245" s="452">
        <f t="shared" si="312"/>
        <v>54.25</v>
      </c>
      <c r="M245" s="452"/>
      <c r="N245" s="222">
        <f t="shared" si="313"/>
        <v>0.22580645161290322</v>
      </c>
      <c r="O245" s="177">
        <f t="shared" si="314"/>
        <v>11.36605459057072</v>
      </c>
      <c r="P245" s="177">
        <f t="shared" si="315"/>
        <v>11.543649193548385</v>
      </c>
      <c r="Q245" s="222">
        <f t="shared" si="316"/>
        <v>0.94717121588089326</v>
      </c>
      <c r="R245" s="222">
        <f t="shared" si="317"/>
        <v>0.94717121588089326</v>
      </c>
      <c r="S245" s="222">
        <f t="shared" si="318"/>
        <v>12</v>
      </c>
      <c r="T245" s="222">
        <f t="shared" si="319"/>
        <v>0.93499462943071976</v>
      </c>
      <c r="U245" s="222">
        <f t="shared" si="320"/>
        <v>0.1558324382384533</v>
      </c>
      <c r="V245" s="222">
        <f t="shared" si="321"/>
        <v>0.53428264538898262</v>
      </c>
      <c r="W245" s="202">
        <f t="shared" si="322"/>
        <v>350</v>
      </c>
      <c r="X245" s="452">
        <f t="shared" si="323"/>
        <v>350</v>
      </c>
      <c r="Z245" s="222">
        <f t="shared" si="324"/>
        <v>3.8709677419354835</v>
      </c>
      <c r="AA245" s="178">
        <f t="shared" si="325"/>
        <v>2.2119815668202762</v>
      </c>
      <c r="AB245" s="178">
        <f t="shared" si="326"/>
        <v>0.92211638517569838</v>
      </c>
      <c r="AC245" s="178"/>
      <c r="AD245" s="178">
        <f t="shared" si="327"/>
        <v>0.46857142857142853</v>
      </c>
      <c r="AE245" s="560">
        <f t="shared" si="328"/>
        <v>1124.3307555026772</v>
      </c>
      <c r="AF245" s="543">
        <f t="shared" si="329"/>
        <v>6.723999999999998E-2</v>
      </c>
      <c r="AH245" s="178">
        <f t="shared" si="330"/>
        <v>1.854283513095766</v>
      </c>
      <c r="AI245" s="178">
        <f t="shared" si="331"/>
        <v>1.854283513095766</v>
      </c>
      <c r="AJ245" s="178">
        <f t="shared" si="332"/>
        <v>1.9661359356264934</v>
      </c>
      <c r="AL245" s="560">
        <f t="shared" si="333"/>
        <v>216.00000000000003</v>
      </c>
      <c r="AM245" s="470">
        <f t="shared" si="334"/>
        <v>350</v>
      </c>
      <c r="AO245">
        <f t="shared" si="335"/>
        <v>216.00000000000003</v>
      </c>
      <c r="AP245">
        <f t="shared" si="336"/>
        <v>350</v>
      </c>
      <c r="AR245" s="6">
        <f t="shared" si="300"/>
        <v>2.8571428571428572</v>
      </c>
      <c r="AS245" s="6">
        <f t="shared" ref="AS245:AS308" si="339">L*AI245/J245*1000000</f>
        <v>0.30904725218262763</v>
      </c>
      <c r="AT245" s="6">
        <f t="shared" ref="AT245:AT308" si="340">AR245-AS245</f>
        <v>2.5480956049602295</v>
      </c>
      <c r="AU245" s="178">
        <f t="shared" ref="AU245:AU308" si="341">AS245/AR245</f>
        <v>0.10816653826391967</v>
      </c>
      <c r="AW245" s="6">
        <f>L*Iout^2/(2*Vripple1_spec*Vout*Npri_sec1^2)*1000000000*((1+N245)/(1-N245))^2</f>
        <v>3.8996913580246928</v>
      </c>
      <c r="AX245" s="6">
        <f>L*F245^2/(2*Cout*Vout*Nps^2)*1000000000*((1+N245)/(1-N245))^2+F245*RCoutEsr</f>
        <v>1.3738404255319154</v>
      </c>
      <c r="AY245" s="6">
        <f>L*Iout2^2/(2*Vout_ripple2*Vout2*Npri_sec2^2)*1000000000*((1+N245)/(1-N245))^2</f>
        <v>1.5233169367283956</v>
      </c>
      <c r="AZ245" s="6">
        <f>L*G245^2/(2*Cout2*Vout2*Npri_sec2^2)*1000000000*((1+N245)/(1-N245))^2+G245*CoutEsr2</f>
        <v>0.68853141622340441</v>
      </c>
      <c r="BA245" s="6">
        <f>(H245+I245)/Efficiency/J245*AT245/Vinripple1</f>
        <v>0.39849916227949456</v>
      </c>
      <c r="BB245" s="6"/>
      <c r="CE245" s="577">
        <f t="shared" si="337"/>
        <v>-50</v>
      </c>
    </row>
    <row r="246" spans="5:83" x14ac:dyDescent="0.2">
      <c r="E246" s="175">
        <v>28</v>
      </c>
      <c r="F246" s="222">
        <f t="shared" si="338"/>
        <v>0.22400000000000003</v>
      </c>
      <c r="G246" s="222">
        <f t="shared" si="307"/>
        <v>0.14000000000000001</v>
      </c>
      <c r="H246" s="222">
        <f t="shared" si="308"/>
        <v>2.6880000000000006</v>
      </c>
      <c r="I246" s="222">
        <f t="shared" si="309"/>
        <v>1.6800000000000002</v>
      </c>
      <c r="J246" s="556">
        <f t="shared" si="310"/>
        <v>42</v>
      </c>
      <c r="K246" s="452">
        <f t="shared" si="311"/>
        <v>12.25</v>
      </c>
      <c r="L246" s="452">
        <f t="shared" si="312"/>
        <v>54.25</v>
      </c>
      <c r="M246" s="452"/>
      <c r="N246" s="222">
        <f t="shared" si="313"/>
        <v>0.22580645161290322</v>
      </c>
      <c r="O246" s="177">
        <f t="shared" si="314"/>
        <v>11.36605459057072</v>
      </c>
      <c r="P246" s="177">
        <f t="shared" si="315"/>
        <v>11.543649193548385</v>
      </c>
      <c r="Q246" s="222">
        <f t="shared" si="316"/>
        <v>0.94717121588089326</v>
      </c>
      <c r="R246" s="222">
        <f t="shared" si="317"/>
        <v>0.94717121588089326</v>
      </c>
      <c r="S246" s="222">
        <f t="shared" si="318"/>
        <v>12</v>
      </c>
      <c r="T246" s="222">
        <f t="shared" si="319"/>
        <v>0.96962406015037605</v>
      </c>
      <c r="U246" s="222">
        <f t="shared" si="320"/>
        <v>0.16160401002506267</v>
      </c>
      <c r="V246" s="222">
        <f t="shared" si="321"/>
        <v>0.55407089151450062</v>
      </c>
      <c r="W246" s="202">
        <f t="shared" si="322"/>
        <v>350</v>
      </c>
      <c r="X246" s="452">
        <f t="shared" si="323"/>
        <v>350</v>
      </c>
      <c r="Z246" s="222">
        <f t="shared" si="324"/>
        <v>3.8709677419354835</v>
      </c>
      <c r="AA246" s="178">
        <f t="shared" si="325"/>
        <v>2.2119815668202762</v>
      </c>
      <c r="AB246" s="178">
        <f t="shared" si="326"/>
        <v>0.92211638517569838</v>
      </c>
      <c r="AC246" s="178"/>
      <c r="AD246" s="178">
        <f t="shared" si="327"/>
        <v>0.46857142857142853</v>
      </c>
      <c r="AE246" s="560">
        <f t="shared" si="328"/>
        <v>1165.97263533611</v>
      </c>
      <c r="AF246" s="543">
        <f t="shared" si="329"/>
        <v>6.723999999999998E-2</v>
      </c>
      <c r="AH246" s="178">
        <f t="shared" si="330"/>
        <v>1.8883099019266636</v>
      </c>
      <c r="AI246" s="178">
        <f t="shared" si="331"/>
        <v>1.8883099019266636</v>
      </c>
      <c r="AJ246" s="178">
        <f t="shared" si="332"/>
        <v>1.9913406680938248</v>
      </c>
      <c r="AL246" s="560">
        <f t="shared" si="333"/>
        <v>224.00000000000003</v>
      </c>
      <c r="AM246" s="470">
        <f t="shared" si="334"/>
        <v>350</v>
      </c>
      <c r="AO246">
        <f t="shared" si="335"/>
        <v>224.00000000000003</v>
      </c>
      <c r="AP246">
        <f t="shared" si="336"/>
        <v>350</v>
      </c>
      <c r="AR246" s="6">
        <f t="shared" si="300"/>
        <v>2.8571428571428572</v>
      </c>
      <c r="AS246" s="6">
        <f t="shared" si="339"/>
        <v>0.31471831698777725</v>
      </c>
      <c r="AT246" s="6">
        <f t="shared" si="340"/>
        <v>2.5424245401550798</v>
      </c>
      <c r="AU246" s="178">
        <f t="shared" si="341"/>
        <v>0.11015141094572203</v>
      </c>
      <c r="AW246" s="6">
        <f>L*Iout^2/(2*Vripple1_spec*Vout*Npri_sec1^2)*1000000000*((1+N246)/(1-N246))^2</f>
        <v>3.8996913580246928</v>
      </c>
      <c r="AX246" s="6">
        <f>L*F246^2/(2*Cout*Vout*Nps^2)*1000000000*((1+N246)/(1-N246))^2+F246*RCoutEsr</f>
        <v>1.4526020488573685</v>
      </c>
      <c r="AY246" s="6">
        <f>L*Iout2^2/(2*Vout_ripple2*Vout2*Npri_sec2^2)*1000000000*((1+N246)/(1-N246))^2</f>
        <v>1.5233169367283956</v>
      </c>
      <c r="AZ246" s="6">
        <f>L*G246^2/(2*Cout2*Vout2*Npri_sec2^2)*1000000000*((1+N246)/(1-N246))^2+G246*CoutEsr2</f>
        <v>0.72492267533490951</v>
      </c>
      <c r="BA246" s="6">
        <f>(H246+I246)/Efficiency/J246*AT246/Vinripple1</f>
        <v>0.41233863887115518</v>
      </c>
      <c r="BB246" s="6"/>
      <c r="CE246" s="577">
        <f t="shared" si="337"/>
        <v>-50</v>
      </c>
    </row>
    <row r="247" spans="5:83" x14ac:dyDescent="0.2">
      <c r="E247" s="175">
        <v>29</v>
      </c>
      <c r="F247" s="222">
        <f t="shared" si="338"/>
        <v>0.23199999999999998</v>
      </c>
      <c r="G247" s="222">
        <f t="shared" si="307"/>
        <v>0.14499999999999999</v>
      </c>
      <c r="H247" s="222">
        <f t="shared" si="308"/>
        <v>2.7839999999999998</v>
      </c>
      <c r="I247" s="222">
        <f t="shared" si="309"/>
        <v>1.7399999999999998</v>
      </c>
      <c r="J247" s="556">
        <f t="shared" si="310"/>
        <v>42</v>
      </c>
      <c r="K247" s="452">
        <f t="shared" si="311"/>
        <v>12.25</v>
      </c>
      <c r="L247" s="452">
        <f t="shared" si="312"/>
        <v>54.25</v>
      </c>
      <c r="M247" s="452"/>
      <c r="N247" s="222">
        <f t="shared" si="313"/>
        <v>0.22580645161290322</v>
      </c>
      <c r="O247" s="177">
        <f t="shared" si="314"/>
        <v>11.36605459057072</v>
      </c>
      <c r="P247" s="177">
        <f t="shared" si="315"/>
        <v>11.543649193548385</v>
      </c>
      <c r="Q247" s="222">
        <f t="shared" si="316"/>
        <v>0.94717121588089326</v>
      </c>
      <c r="R247" s="222">
        <f t="shared" si="317"/>
        <v>0.94717121588089326</v>
      </c>
      <c r="S247" s="222">
        <f t="shared" si="318"/>
        <v>12</v>
      </c>
      <c r="T247" s="222">
        <f t="shared" si="319"/>
        <v>1.004253490870032</v>
      </c>
      <c r="U247" s="222">
        <f t="shared" si="320"/>
        <v>0.167375581811672</v>
      </c>
      <c r="V247" s="222">
        <f t="shared" si="321"/>
        <v>0.57385913764001828</v>
      </c>
      <c r="W247" s="202">
        <f t="shared" si="322"/>
        <v>350</v>
      </c>
      <c r="X247" s="452">
        <f t="shared" si="323"/>
        <v>350</v>
      </c>
      <c r="Z247" s="222">
        <f t="shared" si="324"/>
        <v>3.8709677419354835</v>
      </c>
      <c r="AA247" s="178">
        <f t="shared" si="325"/>
        <v>2.2119815668202762</v>
      </c>
      <c r="AB247" s="178">
        <f t="shared" si="326"/>
        <v>0.92211638517569838</v>
      </c>
      <c r="AC247" s="178"/>
      <c r="AD247" s="178">
        <f t="shared" si="327"/>
        <v>0.46857142857142853</v>
      </c>
      <c r="AE247" s="560">
        <f t="shared" si="328"/>
        <v>1207.6145151695421</v>
      </c>
      <c r="AF247" s="543">
        <f t="shared" si="329"/>
        <v>6.723999999999998E-2</v>
      </c>
      <c r="AH247" s="178">
        <f t="shared" si="330"/>
        <v>1.9217339109485982</v>
      </c>
      <c r="AI247" s="178">
        <f t="shared" si="331"/>
        <v>1.9217339109485982</v>
      </c>
      <c r="AJ247" s="178">
        <f t="shared" si="332"/>
        <v>2.0160991932952577</v>
      </c>
      <c r="AL247" s="560">
        <f t="shared" si="333"/>
        <v>231.99999999999997</v>
      </c>
      <c r="AM247" s="470">
        <f t="shared" si="334"/>
        <v>350</v>
      </c>
      <c r="AO247">
        <f t="shared" si="335"/>
        <v>231.99999999999997</v>
      </c>
      <c r="AP247">
        <f t="shared" si="336"/>
        <v>350</v>
      </c>
      <c r="AR247" s="6">
        <f t="shared" si="300"/>
        <v>2.8571428571428572</v>
      </c>
      <c r="AS247" s="6">
        <f t="shared" si="339"/>
        <v>0.32028898515809967</v>
      </c>
      <c r="AT247" s="6">
        <f t="shared" si="340"/>
        <v>2.5368538719847575</v>
      </c>
      <c r="AU247" s="178">
        <f t="shared" si="341"/>
        <v>0.11210114480533488</v>
      </c>
      <c r="AW247" s="6">
        <f>L*Iout^2/(2*Vripple1_spec*Vout*Npri_sec1^2)*1000000000*((1+N247)/(1-N247))^2</f>
        <v>3.8996913580246928</v>
      </c>
      <c r="AX247" s="6">
        <f>L*F247^2/(2*Cout*Vout*Nps^2)*1000000000*((1+N247)/(1-N247))^2+F247*RCoutEsr</f>
        <v>1.5333550039401103</v>
      </c>
      <c r="AY247" s="6">
        <f>L*Iout2^2/(2*Vout_ripple2*Vout2*Npri_sec2^2)*1000000000*((1+N247)/(1-N247))^2</f>
        <v>1.5233169367283956</v>
      </c>
      <c r="AZ247" s="6">
        <f>L*G247^2/(2*Cout2*Vout2*Npri_sec2^2)*1000000000*((1+N247)/(1-N247))^2+G247*CoutEsr2</f>
        <v>0.76209179841410568</v>
      </c>
      <c r="BA247" s="6">
        <f>(H247+I247)/Efficiency/J247*AT247/Vinripple1</f>
        <v>0.42612928309139664</v>
      </c>
      <c r="BB247" s="6"/>
      <c r="CE247" s="577">
        <f t="shared" si="337"/>
        <v>-50</v>
      </c>
    </row>
    <row r="248" spans="5:83" x14ac:dyDescent="0.2">
      <c r="E248" s="175">
        <v>30</v>
      </c>
      <c r="F248" s="222">
        <f t="shared" si="338"/>
        <v>0.24</v>
      </c>
      <c r="G248" s="222">
        <f t="shared" si="307"/>
        <v>0.15</v>
      </c>
      <c r="H248" s="222">
        <f t="shared" si="308"/>
        <v>2.88</v>
      </c>
      <c r="I248" s="222">
        <f t="shared" si="309"/>
        <v>1.7999999999999998</v>
      </c>
      <c r="J248" s="556">
        <f t="shared" si="310"/>
        <v>42</v>
      </c>
      <c r="K248" s="452">
        <f t="shared" si="311"/>
        <v>12.25</v>
      </c>
      <c r="L248" s="452">
        <f t="shared" si="312"/>
        <v>54.25</v>
      </c>
      <c r="M248" s="452"/>
      <c r="N248" s="222">
        <f t="shared" si="313"/>
        <v>0.22580645161290322</v>
      </c>
      <c r="O248" s="177">
        <f t="shared" si="314"/>
        <v>11.36605459057072</v>
      </c>
      <c r="P248" s="177">
        <f t="shared" si="315"/>
        <v>11.543649193548385</v>
      </c>
      <c r="Q248" s="222">
        <f t="shared" si="316"/>
        <v>0.94717121588089326</v>
      </c>
      <c r="R248" s="222">
        <f t="shared" si="317"/>
        <v>0.94717121588089326</v>
      </c>
      <c r="S248" s="222">
        <f t="shared" si="318"/>
        <v>12</v>
      </c>
      <c r="T248" s="222">
        <f t="shared" si="319"/>
        <v>1.0388829215896884</v>
      </c>
      <c r="U248" s="222">
        <f t="shared" si="320"/>
        <v>0.17314715359828139</v>
      </c>
      <c r="V248" s="222">
        <f t="shared" si="321"/>
        <v>0.59364738376553627</v>
      </c>
      <c r="W248" s="202">
        <f t="shared" si="322"/>
        <v>350</v>
      </c>
      <c r="X248" s="452">
        <f t="shared" si="323"/>
        <v>350</v>
      </c>
      <c r="Z248" s="222">
        <f t="shared" si="324"/>
        <v>3.8709677419354835</v>
      </c>
      <c r="AA248" s="178">
        <f t="shared" si="325"/>
        <v>2.2119815668202762</v>
      </c>
      <c r="AB248" s="178">
        <f t="shared" si="326"/>
        <v>0.92211638517569838</v>
      </c>
      <c r="AC248" s="178"/>
      <c r="AD248" s="178">
        <f t="shared" si="327"/>
        <v>0.46857142857142853</v>
      </c>
      <c r="AE248" s="560">
        <f t="shared" si="328"/>
        <v>1249.2563950029746</v>
      </c>
      <c r="AF248" s="543">
        <f t="shared" si="329"/>
        <v>6.723999999999998E-2</v>
      </c>
      <c r="AH248" s="178">
        <f t="shared" si="330"/>
        <v>1.9545864430270936</v>
      </c>
      <c r="AI248" s="178">
        <f t="shared" si="331"/>
        <v>1.9545864430270936</v>
      </c>
      <c r="AJ248" s="178">
        <f t="shared" si="332"/>
        <v>2.0404344022422918</v>
      </c>
      <c r="AL248" s="560">
        <f t="shared" si="333"/>
        <v>240</v>
      </c>
      <c r="AM248" s="470">
        <f t="shared" si="334"/>
        <v>350</v>
      </c>
      <c r="AO248">
        <f t="shared" si="335"/>
        <v>240</v>
      </c>
      <c r="AP248">
        <f t="shared" si="336"/>
        <v>350</v>
      </c>
      <c r="AR248" s="6">
        <f t="shared" si="300"/>
        <v>2.8571428571428572</v>
      </c>
      <c r="AS248" s="6">
        <f t="shared" si="339"/>
        <v>0.32576440717118227</v>
      </c>
      <c r="AT248" s="6">
        <f t="shared" si="340"/>
        <v>2.5313784499716752</v>
      </c>
      <c r="AU248" s="178">
        <f t="shared" si="341"/>
        <v>0.11401754250991379</v>
      </c>
      <c r="AW248" s="6">
        <f>L*Iout^2/(2*Vripple1_spec*Vout*Npri_sec1^2)*1000000000*((1+N248)/(1-N248))^2</f>
        <v>3.8996913580246928</v>
      </c>
      <c r="AX248" s="6">
        <f>L*F248^2/(2*Cout*Vout*Nps^2)*1000000000*((1+N248)/(1-N248))^2+F248*RCoutEsr</f>
        <v>1.6160992907801419</v>
      </c>
      <c r="AY248" s="6">
        <f>L*Iout2^2/(2*Vout_ripple2*Vout2*Npri_sec2^2)*1000000000*((1+N248)/(1-N248))^2</f>
        <v>1.5233169367283956</v>
      </c>
      <c r="AZ248" s="6">
        <f>L*G248^2/(2*Cout2*Vout2*Npri_sec2^2)*1000000000*((1+N248)/(1-N248))^2+G248*CoutEsr2</f>
        <v>0.80003878546099294</v>
      </c>
      <c r="BA248" s="6">
        <f>(H248+I248)/Efficiency/J248*AT248/Vinripple1</f>
        <v>0.43987194452306466</v>
      </c>
      <c r="BB248" s="6"/>
      <c r="CE248" s="577">
        <f t="shared" si="337"/>
        <v>-50</v>
      </c>
    </row>
    <row r="249" spans="5:83" x14ac:dyDescent="0.2">
      <c r="E249" s="175">
        <v>31</v>
      </c>
      <c r="F249" s="222">
        <f t="shared" si="338"/>
        <v>0.248</v>
      </c>
      <c r="G249" s="222">
        <f t="shared" si="307"/>
        <v>0.155</v>
      </c>
      <c r="H249" s="222">
        <f t="shared" si="308"/>
        <v>2.976</v>
      </c>
      <c r="I249" s="222">
        <f t="shared" si="309"/>
        <v>1.8599999999999999</v>
      </c>
      <c r="J249" s="556">
        <f t="shared" si="310"/>
        <v>42</v>
      </c>
      <c r="K249" s="452">
        <f t="shared" si="311"/>
        <v>12.25</v>
      </c>
      <c r="L249" s="452">
        <f t="shared" si="312"/>
        <v>54.25</v>
      </c>
      <c r="M249" s="452"/>
      <c r="N249" s="222">
        <f t="shared" si="313"/>
        <v>0.22580645161290322</v>
      </c>
      <c r="O249" s="177">
        <f t="shared" si="314"/>
        <v>11.36605459057072</v>
      </c>
      <c r="P249" s="177">
        <f t="shared" si="315"/>
        <v>11.543649193548385</v>
      </c>
      <c r="Q249" s="222">
        <f t="shared" si="316"/>
        <v>0.94717121588089326</v>
      </c>
      <c r="R249" s="222">
        <f t="shared" si="317"/>
        <v>0.94717121588089326</v>
      </c>
      <c r="S249" s="222">
        <f t="shared" si="318"/>
        <v>12</v>
      </c>
      <c r="T249" s="222">
        <f t="shared" si="319"/>
        <v>1.0735123523093448</v>
      </c>
      <c r="U249" s="222">
        <f t="shared" si="320"/>
        <v>0.17891872538489079</v>
      </c>
      <c r="V249" s="222">
        <f t="shared" si="321"/>
        <v>0.61343562989105416</v>
      </c>
      <c r="W249" s="202">
        <f t="shared" si="322"/>
        <v>350</v>
      </c>
      <c r="X249" s="452">
        <f t="shared" si="323"/>
        <v>350</v>
      </c>
      <c r="Z249" s="222">
        <f t="shared" si="324"/>
        <v>3.8709677419354835</v>
      </c>
      <c r="AA249" s="178">
        <f t="shared" si="325"/>
        <v>2.2119815668202762</v>
      </c>
      <c r="AB249" s="178">
        <f t="shared" si="326"/>
        <v>0.92211638517569838</v>
      </c>
      <c r="AC249" s="178"/>
      <c r="AD249" s="178">
        <f t="shared" si="327"/>
        <v>0.46857142857142853</v>
      </c>
      <c r="AE249" s="560">
        <f t="shared" si="328"/>
        <v>1290.8982748364072</v>
      </c>
      <c r="AF249" s="543">
        <f t="shared" si="329"/>
        <v>6.723999999999998E-2</v>
      </c>
      <c r="AH249" s="178">
        <f t="shared" si="330"/>
        <v>1.9868958457958525</v>
      </c>
      <c r="AI249" s="178">
        <f t="shared" si="331"/>
        <v>1.9868958457958525</v>
      </c>
      <c r="AJ249" s="178">
        <f t="shared" si="332"/>
        <v>2.0643672931821131</v>
      </c>
      <c r="AL249" s="560">
        <f t="shared" si="333"/>
        <v>248</v>
      </c>
      <c r="AM249" s="470">
        <f t="shared" si="334"/>
        <v>350</v>
      </c>
      <c r="AO249">
        <f t="shared" si="335"/>
        <v>248</v>
      </c>
      <c r="AP249">
        <f t="shared" si="336"/>
        <v>350</v>
      </c>
      <c r="AR249" s="6">
        <f t="shared" si="300"/>
        <v>2.8571428571428572</v>
      </c>
      <c r="AS249" s="6">
        <f t="shared" si="339"/>
        <v>0.33114930763264205</v>
      </c>
      <c r="AT249" s="6">
        <f t="shared" si="340"/>
        <v>2.5259935495102153</v>
      </c>
      <c r="AU249" s="178">
        <f t="shared" si="341"/>
        <v>0.11590225767142472</v>
      </c>
      <c r="AW249" s="6">
        <f>L*Iout^2/(2*Vripple1_spec*Vout*Npri_sec1^2)*1000000000*((1+N249)/(1-N249))^2</f>
        <v>3.8996913580246928</v>
      </c>
      <c r="AX249" s="6">
        <f>L*F249^2/(2*Cout*Vout*Nps^2)*1000000000*((1+N249)/(1-N249))^2+F249*RCoutEsr</f>
        <v>1.7008349093774626</v>
      </c>
      <c r="AY249" s="6">
        <f>L*Iout2^2/(2*Vout_ripple2*Vout2*Npri_sec2^2)*1000000000*((1+N249)/(1-N249))^2</f>
        <v>1.5233169367283956</v>
      </c>
      <c r="AZ249" s="6">
        <f>L*G249^2/(2*Cout2*Vout2*Npri_sec2^2)*1000000000*((1+N249)/(1-N249))^2+G249*CoutEsr2</f>
        <v>0.83876363647557139</v>
      </c>
      <c r="BA249" s="6">
        <f>(H249+I249)/Efficiency/J249*AT249/Vinripple1</f>
        <v>0.45356742988699161</v>
      </c>
      <c r="BB249" s="6"/>
      <c r="CE249" s="577">
        <f t="shared" si="337"/>
        <v>-50</v>
      </c>
    </row>
    <row r="250" spans="5:83" x14ac:dyDescent="0.2">
      <c r="E250" s="175">
        <v>32</v>
      </c>
      <c r="F250" s="222">
        <f t="shared" si="338"/>
        <v>0.25600000000000001</v>
      </c>
      <c r="G250" s="222">
        <f t="shared" ref="G250:G281" si="342">IF(PLOT_TYPE=1, E250/100*Iout2, min_I*EXP(Q250*rr/100))</f>
        <v>0.16</v>
      </c>
      <c r="H250" s="222">
        <f t="shared" ref="H250:H281" si="343">F250*Vout</f>
        <v>3.0720000000000001</v>
      </c>
      <c r="I250" s="222">
        <f t="shared" ref="I250:I281" si="344">Vout2*G250</f>
        <v>1.92</v>
      </c>
      <c r="J250" s="556">
        <f t="shared" si="310"/>
        <v>42</v>
      </c>
      <c r="K250" s="452">
        <f t="shared" si="311"/>
        <v>12.25</v>
      </c>
      <c r="L250" s="452">
        <f t="shared" si="312"/>
        <v>54.25</v>
      </c>
      <c r="M250" s="452"/>
      <c r="N250" s="222">
        <f t="shared" si="313"/>
        <v>0.22580645161290322</v>
      </c>
      <c r="O250" s="177">
        <f t="shared" ref="O250:O281" si="345">N250*J250*Isw_max*0.5*Efficiency*Pout/(Pout+Pout2)</f>
        <v>11.36605459057072</v>
      </c>
      <c r="P250" s="177">
        <f t="shared" ref="P250:P281" si="346">N250*J250*Isw_max*0.5*Efficiency*(Pout2/Pout_total)</f>
        <v>11.543649193548385</v>
      </c>
      <c r="Q250" s="222">
        <f t="shared" si="316"/>
        <v>0.94717121588089326</v>
      </c>
      <c r="R250" s="222">
        <f t="shared" ref="R250:R281" si="347">O250/Vout2</f>
        <v>0.94717121588089326</v>
      </c>
      <c r="S250" s="222">
        <f t="shared" ref="S250:S281" si="348">MIN(Vout,O250/F250)</f>
        <v>12</v>
      </c>
      <c r="T250" s="222">
        <f t="shared" ref="T250:T281" si="349">MIN(2*(Vout*F250+Vout2*G250)/(Efficiency*J250*N250), Isw_max)</f>
        <v>1.108141783029001</v>
      </c>
      <c r="U250" s="222">
        <f t="shared" si="320"/>
        <v>0.18469029717150018</v>
      </c>
      <c r="V250" s="222">
        <f t="shared" si="321"/>
        <v>0.63322387601657204</v>
      </c>
      <c r="W250" s="202">
        <f t="shared" si="322"/>
        <v>350</v>
      </c>
      <c r="X250" s="452">
        <f t="shared" si="323"/>
        <v>350</v>
      </c>
      <c r="Z250" s="222">
        <f t="shared" si="324"/>
        <v>3.8709677419354835</v>
      </c>
      <c r="AA250" s="178">
        <f t="shared" si="325"/>
        <v>2.2119815668202762</v>
      </c>
      <c r="AB250" s="178">
        <f t="shared" ref="AB250:AB281" si="350">0.5*AA250*Z250*Nps*W250/1000*(Pout/(Pout+Pout2))</f>
        <v>0.92211638517569838</v>
      </c>
      <c r="AC250" s="178"/>
      <c r="AD250" s="178">
        <f t="shared" si="327"/>
        <v>0.46857142857142853</v>
      </c>
      <c r="AE250" s="560">
        <f t="shared" ref="AE250:AE281" si="351">MAX(10, F250/(0.5*AD250/1000000*Isw_min*Nps)/1000*Pout_total/Pout)</f>
        <v>1332.5401546698397</v>
      </c>
      <c r="AF250" s="543">
        <f t="shared" ref="AF250:AF281" si="352">0.5*AD250/1000000*Isw_min*Nps*W250*1000*(Pout/Pout_total)</f>
        <v>6.723999999999998E-2</v>
      </c>
      <c r="AH250" s="178">
        <f t="shared" ref="AH250:AH281" si="353">SQRT((H250+I250)/(0.5*L*Fsw_DCM))</f>
        <v>2.0186881980177938</v>
      </c>
      <c r="AI250" s="178">
        <f t="shared" ref="AI250:AI281" si="354">MAX(IF(F250&gt;AB250,T250,AH250),Isw_min)</f>
        <v>2.0186881980177938</v>
      </c>
      <c r="AJ250" s="178">
        <f t="shared" ref="AJ250:AJ281" si="355">IF(F250&gt;AF250, (AI250-Isw_min)/1.08*0.8+1.2, AE250*0.2/350+1)</f>
        <v>2.0879171837168844</v>
      </c>
      <c r="AL250" s="560">
        <f t="shared" ref="AL250:AL281" si="356">F250*1000</f>
        <v>256</v>
      </c>
      <c r="AM250" s="470">
        <f t="shared" ref="AM250:AM281" si="357">IF(F250&gt;AF250, X250, AE250)</f>
        <v>350</v>
      </c>
      <c r="AO250">
        <f t="shared" si="335"/>
        <v>256</v>
      </c>
      <c r="AP250">
        <f t="shared" si="336"/>
        <v>350</v>
      </c>
      <c r="AR250" s="6">
        <f t="shared" si="300"/>
        <v>2.8571428571428572</v>
      </c>
      <c r="AS250" s="6">
        <f t="shared" si="339"/>
        <v>0.33644803300296566</v>
      </c>
      <c r="AT250" s="6">
        <f t="shared" si="340"/>
        <v>2.5206948241398917</v>
      </c>
      <c r="AU250" s="178">
        <f t="shared" si="341"/>
        <v>0.11775681155103798</v>
      </c>
      <c r="AW250" s="6">
        <f>L*Iout^2/(2*Vripple1_spec*Vout*Npri_sec1^2)*1000000000*((1+N250)/(1-N250))^2</f>
        <v>3.8996913580246928</v>
      </c>
      <c r="AX250" s="6">
        <f>L*F250^2/(2*Cout*Vout*Nps^2)*1000000000*((1+N250)/(1-N250))^2+F250*RCoutEsr</f>
        <v>1.7875618597320728</v>
      </c>
      <c r="AY250" s="6">
        <f>L*Iout2^2/(2*Vout_ripple2*Vout2*Npri_sec2^2)*1000000000*((1+N250)/(1-N250))^2</f>
        <v>1.5233169367283956</v>
      </c>
      <c r="AZ250" s="6">
        <f>L*G250^2/(2*Cout2*Vout2*Npri_sec2^2)*1000000000*((1+N250)/(1-N250))^2+G250*CoutEsr2</f>
        <v>0.87826635145784104</v>
      </c>
      <c r="BA250" s="6">
        <f>(H250+I250)/Efficiency/J250*AT250/Vinripple1</f>
        <v>0.46721650652952162</v>
      </c>
      <c r="BB250" s="6"/>
      <c r="CE250" s="577">
        <f t="shared" ref="CE250:CE281" si="358">IF(ABS(F250-Ioutmax_Vinmax)&lt;Iout/200, AM250, -50)</f>
        <v>-50</v>
      </c>
    </row>
    <row r="251" spans="5:83" x14ac:dyDescent="0.2">
      <c r="E251" s="175">
        <v>33</v>
      </c>
      <c r="F251" s="222">
        <f t="shared" ref="F251:F282" si="359">IF(PLOT_TYPE=1, E251/100*Iout_max, min_I*EXP(O251*rr/100))</f>
        <v>0.26400000000000001</v>
      </c>
      <c r="G251" s="222">
        <f t="shared" si="342"/>
        <v>0.16500000000000001</v>
      </c>
      <c r="H251" s="222">
        <f t="shared" si="343"/>
        <v>3.1680000000000001</v>
      </c>
      <c r="I251" s="222">
        <f t="shared" si="344"/>
        <v>1.98</v>
      </c>
      <c r="J251" s="556">
        <f t="shared" si="310"/>
        <v>42</v>
      </c>
      <c r="K251" s="452">
        <f t="shared" si="311"/>
        <v>12.25</v>
      </c>
      <c r="L251" s="452">
        <f t="shared" si="312"/>
        <v>54.25</v>
      </c>
      <c r="M251" s="452"/>
      <c r="N251" s="222">
        <f t="shared" si="313"/>
        <v>0.22580645161290322</v>
      </c>
      <c r="O251" s="177">
        <f t="shared" si="345"/>
        <v>11.36605459057072</v>
      </c>
      <c r="P251" s="177">
        <f t="shared" si="346"/>
        <v>11.543649193548385</v>
      </c>
      <c r="Q251" s="222">
        <f t="shared" si="316"/>
        <v>0.94717121588089326</v>
      </c>
      <c r="R251" s="222">
        <f t="shared" si="347"/>
        <v>0.94717121588089326</v>
      </c>
      <c r="S251" s="222">
        <f t="shared" si="348"/>
        <v>12</v>
      </c>
      <c r="T251" s="222">
        <f t="shared" si="349"/>
        <v>1.1427712137486572</v>
      </c>
      <c r="U251" s="222">
        <f t="shared" si="320"/>
        <v>0.19046186895810954</v>
      </c>
      <c r="V251" s="222">
        <f t="shared" si="321"/>
        <v>0.65301212214208981</v>
      </c>
      <c r="W251" s="202">
        <f t="shared" si="322"/>
        <v>350</v>
      </c>
      <c r="X251" s="452">
        <f t="shared" si="323"/>
        <v>350</v>
      </c>
      <c r="Z251" s="222">
        <f t="shared" si="324"/>
        <v>3.8709677419354835</v>
      </c>
      <c r="AA251" s="178">
        <f t="shared" si="325"/>
        <v>2.2119815668202762</v>
      </c>
      <c r="AB251" s="178">
        <f t="shared" si="350"/>
        <v>0.92211638517569838</v>
      </c>
      <c r="AC251" s="178"/>
      <c r="AD251" s="178">
        <f t="shared" si="327"/>
        <v>0.46857142857142853</v>
      </c>
      <c r="AE251" s="560">
        <f t="shared" si="351"/>
        <v>1374.1820345032722</v>
      </c>
      <c r="AF251" s="543">
        <f t="shared" si="352"/>
        <v>6.723999999999998E-2</v>
      </c>
      <c r="AH251" s="178">
        <f t="shared" si="353"/>
        <v>2.0499875559602394</v>
      </c>
      <c r="AI251" s="178">
        <f t="shared" si="354"/>
        <v>2.0499875559602394</v>
      </c>
      <c r="AJ251" s="178">
        <f t="shared" si="355"/>
        <v>2.1111018933038812</v>
      </c>
      <c r="AL251" s="560">
        <f t="shared" si="356"/>
        <v>264</v>
      </c>
      <c r="AM251" s="470">
        <f t="shared" si="357"/>
        <v>350</v>
      </c>
      <c r="AO251">
        <f t="shared" si="335"/>
        <v>264</v>
      </c>
      <c r="AP251">
        <f t="shared" si="336"/>
        <v>350</v>
      </c>
      <c r="AR251" s="6">
        <f t="shared" si="300"/>
        <v>2.8571428571428572</v>
      </c>
      <c r="AS251" s="6">
        <f t="shared" si="339"/>
        <v>0.3416645926600399</v>
      </c>
      <c r="AT251" s="6">
        <f t="shared" si="340"/>
        <v>2.5154782644828173</v>
      </c>
      <c r="AU251" s="178">
        <f t="shared" si="341"/>
        <v>0.11958260743101397</v>
      </c>
      <c r="AW251" s="6">
        <f>L*Iout^2/(2*Vripple1_spec*Vout*Npri_sec1^2)*1000000000*((1+N251)/(1-N251))^2</f>
        <v>3.8996913580246928</v>
      </c>
      <c r="AX251" s="6">
        <f>L*F251^2/(2*Cout*Vout*Nps^2)*1000000000*((1+N251)/(1-N251))^2+F251*RCoutEsr</f>
        <v>1.8762801418439723</v>
      </c>
      <c r="AY251" s="6">
        <f>L*Iout2^2/(2*Vout_ripple2*Vout2*Npri_sec2^2)*1000000000*((1+N251)/(1-N251))^2</f>
        <v>1.5233169367283956</v>
      </c>
      <c r="AZ251" s="6">
        <f>L*G251^2/(2*Cout2*Vout2*Npri_sec2^2)*1000000000*((1+N251)/(1-N251))^2+G251*CoutEsr2</f>
        <v>0.91854693040780155</v>
      </c>
      <c r="BA251" s="6">
        <f>(H251+I251)/Efficiency/J251*AT251/Vinripple1</f>
        <v>0.48081990552520348</v>
      </c>
      <c r="BB251" s="6"/>
      <c r="CE251" s="577">
        <f t="shared" si="358"/>
        <v>-50</v>
      </c>
    </row>
    <row r="252" spans="5:83" x14ac:dyDescent="0.2">
      <c r="E252" s="175">
        <v>34</v>
      </c>
      <c r="F252" s="222">
        <f t="shared" si="359"/>
        <v>0.27200000000000002</v>
      </c>
      <c r="G252" s="222">
        <f t="shared" si="342"/>
        <v>0.17</v>
      </c>
      <c r="H252" s="222">
        <f t="shared" si="343"/>
        <v>3.2640000000000002</v>
      </c>
      <c r="I252" s="222">
        <f t="shared" si="344"/>
        <v>2.04</v>
      </c>
      <c r="J252" s="556">
        <f t="shared" si="310"/>
        <v>42</v>
      </c>
      <c r="K252" s="452">
        <f t="shared" si="311"/>
        <v>12.25</v>
      </c>
      <c r="L252" s="452">
        <f t="shared" si="312"/>
        <v>54.25</v>
      </c>
      <c r="M252" s="452"/>
      <c r="N252" s="222">
        <f t="shared" si="313"/>
        <v>0.22580645161290322</v>
      </c>
      <c r="O252" s="177">
        <f t="shared" si="345"/>
        <v>11.36605459057072</v>
      </c>
      <c r="P252" s="177">
        <f t="shared" si="346"/>
        <v>11.543649193548385</v>
      </c>
      <c r="Q252" s="222">
        <f t="shared" si="316"/>
        <v>0.94717121588089326</v>
      </c>
      <c r="R252" s="222">
        <f t="shared" si="347"/>
        <v>0.94717121588089326</v>
      </c>
      <c r="S252" s="222">
        <f t="shared" si="348"/>
        <v>12</v>
      </c>
      <c r="T252" s="222">
        <f t="shared" si="349"/>
        <v>1.1774006444683136</v>
      </c>
      <c r="U252" s="222">
        <f t="shared" si="320"/>
        <v>0.19623344074471893</v>
      </c>
      <c r="V252" s="222">
        <f t="shared" si="321"/>
        <v>0.67280036826760781</v>
      </c>
      <c r="W252" s="202">
        <f t="shared" si="322"/>
        <v>350</v>
      </c>
      <c r="X252" s="452">
        <f t="shared" si="323"/>
        <v>350</v>
      </c>
      <c r="Z252" s="222">
        <f t="shared" si="324"/>
        <v>3.8709677419354835</v>
      </c>
      <c r="AA252" s="178">
        <f t="shared" si="325"/>
        <v>2.2119815668202762</v>
      </c>
      <c r="AB252" s="178">
        <f t="shared" si="350"/>
        <v>0.92211638517569838</v>
      </c>
      <c r="AC252" s="178"/>
      <c r="AD252" s="178">
        <f t="shared" si="327"/>
        <v>0.46857142857142853</v>
      </c>
      <c r="AE252" s="560">
        <f t="shared" si="351"/>
        <v>1415.8239143367045</v>
      </c>
      <c r="AF252" s="543">
        <f t="shared" si="352"/>
        <v>6.723999999999998E-2</v>
      </c>
      <c r="AH252" s="178">
        <f t="shared" si="353"/>
        <v>2.0808161664037854</v>
      </c>
      <c r="AI252" s="178">
        <f t="shared" si="354"/>
        <v>2.0808161664037854</v>
      </c>
      <c r="AJ252" s="178">
        <f t="shared" si="355"/>
        <v>2.1339379010398409</v>
      </c>
      <c r="AL252" s="560">
        <f t="shared" si="356"/>
        <v>272</v>
      </c>
      <c r="AM252" s="470">
        <f t="shared" si="357"/>
        <v>350</v>
      </c>
      <c r="AO252">
        <f t="shared" si="335"/>
        <v>272</v>
      </c>
      <c r="AP252">
        <f t="shared" si="336"/>
        <v>350</v>
      </c>
      <c r="AR252" s="6">
        <f t="shared" si="300"/>
        <v>2.8571428571428572</v>
      </c>
      <c r="AS252" s="6">
        <f t="shared" si="339"/>
        <v>0.34680269440063088</v>
      </c>
      <c r="AT252" s="6">
        <f t="shared" si="340"/>
        <v>2.5103401627422262</v>
      </c>
      <c r="AU252" s="178">
        <f t="shared" si="341"/>
        <v>0.1213809430402208</v>
      </c>
      <c r="AW252" s="6">
        <f>L*Iout^2/(2*Vripple1_spec*Vout*Npri_sec1^2)*1000000000*((1+N252)/(1-N252))^2</f>
        <v>3.8996913580246928</v>
      </c>
      <c r="AX252" s="6">
        <f>L*F252^2/(2*Cout*Vout*Nps^2)*1000000000*((1+N252)/(1-N252))^2+F252*RCoutEsr</f>
        <v>1.9669897557131604</v>
      </c>
      <c r="AY252" s="6">
        <f>L*Iout2^2/(2*Vout_ripple2*Vout2*Npri_sec2^2)*1000000000*((1+N252)/(1-N252))^2</f>
        <v>1.5233169367283956</v>
      </c>
      <c r="AZ252" s="6">
        <f>L*G252^2/(2*Cout2*Vout2*Npri_sec2^2)*1000000000*((1+N252)/(1-N252))^2+G252*CoutEsr2</f>
        <v>0.95960537332545326</v>
      </c>
      <c r="BA252" s="6">
        <f>(H252+I252)/Efficiency/J252*AT252/Vinripple1</f>
        <v>0.49437832444759189</v>
      </c>
      <c r="BB252" s="6"/>
      <c r="CE252" s="577">
        <f t="shared" si="358"/>
        <v>-50</v>
      </c>
    </row>
    <row r="253" spans="5:83" x14ac:dyDescent="0.2">
      <c r="E253" s="175">
        <v>35</v>
      </c>
      <c r="F253" s="222">
        <f t="shared" si="359"/>
        <v>0.27999999999999997</v>
      </c>
      <c r="G253" s="222">
        <f t="shared" si="342"/>
        <v>0.17499999999999999</v>
      </c>
      <c r="H253" s="222">
        <f t="shared" si="343"/>
        <v>3.3599999999999994</v>
      </c>
      <c r="I253" s="222">
        <f t="shared" si="344"/>
        <v>2.0999999999999996</v>
      </c>
      <c r="J253" s="556">
        <f t="shared" si="310"/>
        <v>42</v>
      </c>
      <c r="K253" s="452">
        <f t="shared" si="311"/>
        <v>12.25</v>
      </c>
      <c r="L253" s="452">
        <f t="shared" si="312"/>
        <v>54.25</v>
      </c>
      <c r="M253" s="452"/>
      <c r="N253" s="222">
        <f t="shared" si="313"/>
        <v>0.22580645161290322</v>
      </c>
      <c r="O253" s="177">
        <f t="shared" si="345"/>
        <v>11.36605459057072</v>
      </c>
      <c r="P253" s="177">
        <f t="shared" si="346"/>
        <v>11.543649193548385</v>
      </c>
      <c r="Q253" s="222">
        <f t="shared" si="316"/>
        <v>0.94717121588089326</v>
      </c>
      <c r="R253" s="222">
        <f t="shared" si="347"/>
        <v>0.94717121588089326</v>
      </c>
      <c r="S253" s="222">
        <f t="shared" si="348"/>
        <v>12</v>
      </c>
      <c r="T253" s="222">
        <f t="shared" si="349"/>
        <v>1.2120300751879698</v>
      </c>
      <c r="U253" s="222">
        <f t="shared" si="320"/>
        <v>0.2020050125313283</v>
      </c>
      <c r="V253" s="222">
        <f t="shared" si="321"/>
        <v>0.69258861439312558</v>
      </c>
      <c r="W253" s="202">
        <f t="shared" si="322"/>
        <v>350</v>
      </c>
      <c r="X253" s="452">
        <f t="shared" si="323"/>
        <v>350</v>
      </c>
      <c r="Z253" s="222">
        <f t="shared" si="324"/>
        <v>3.8709677419354835</v>
      </c>
      <c r="AA253" s="178">
        <f t="shared" si="325"/>
        <v>2.2119815668202762</v>
      </c>
      <c r="AB253" s="178">
        <f t="shared" si="350"/>
        <v>0.92211638517569838</v>
      </c>
      <c r="AC253" s="178"/>
      <c r="AD253" s="178">
        <f t="shared" si="327"/>
        <v>0.46857142857142853</v>
      </c>
      <c r="AE253" s="560">
        <f t="shared" si="351"/>
        <v>1457.4657941701371</v>
      </c>
      <c r="AF253" s="543">
        <f t="shared" si="352"/>
        <v>6.723999999999998E-2</v>
      </c>
      <c r="AH253" s="178">
        <f t="shared" si="353"/>
        <v>2.1111946516469904</v>
      </c>
      <c r="AI253" s="178">
        <f t="shared" si="354"/>
        <v>2.1111946516469904</v>
      </c>
      <c r="AJ253" s="178">
        <f t="shared" si="355"/>
        <v>2.1564404827014743</v>
      </c>
      <c r="AL253" s="560">
        <f t="shared" si="356"/>
        <v>279.99999999999994</v>
      </c>
      <c r="AM253" s="470">
        <f t="shared" si="357"/>
        <v>350</v>
      </c>
      <c r="AO253">
        <f t="shared" si="335"/>
        <v>279.99999999999994</v>
      </c>
      <c r="AP253">
        <f t="shared" si="336"/>
        <v>350</v>
      </c>
      <c r="AR253" s="6">
        <f t="shared" si="300"/>
        <v>2.8571428571428572</v>
      </c>
      <c r="AS253" s="6">
        <f t="shared" si="339"/>
        <v>0.35186577527449842</v>
      </c>
      <c r="AT253" s="6">
        <f t="shared" si="340"/>
        <v>2.5052770818683587</v>
      </c>
      <c r="AU253" s="178">
        <f t="shared" si="341"/>
        <v>0.12315302134607445</v>
      </c>
      <c r="AW253" s="6">
        <f>L*Iout^2/(2*Vripple1_spec*Vout*Npri_sec1^2)*1000000000*((1+N253)/(1-N253))^2</f>
        <v>3.8996913580246928</v>
      </c>
      <c r="AX253" s="6">
        <f>L*F253^2/(2*Cout*Vout*Nps^2)*1000000000*((1+N253)/(1-N253))^2+F253*RCoutEsr</f>
        <v>2.0596907013396373</v>
      </c>
      <c r="AY253" s="6">
        <f>L*Iout2^2/(2*Vout_ripple2*Vout2*Npri_sec2^2)*1000000000*((1+N253)/(1-N253))^2</f>
        <v>1.5233169367283956</v>
      </c>
      <c r="AZ253" s="6">
        <f>L*G253^2/(2*Cout2*Vout2*Npri_sec2^2)*1000000000*((1+N253)/(1-N253))^2+G253*CoutEsr2</f>
        <v>1.0014416802107959</v>
      </c>
      <c r="BA253" s="6">
        <f>(H253+I253)/Efficiency/J253*AT253/Vinripple1</f>
        <v>0.50789242985245464</v>
      </c>
      <c r="BB253" s="6"/>
      <c r="CE253" s="577">
        <f t="shared" si="358"/>
        <v>-50</v>
      </c>
    </row>
    <row r="254" spans="5:83" x14ac:dyDescent="0.2">
      <c r="E254" s="175">
        <v>36</v>
      </c>
      <c r="F254" s="222">
        <f t="shared" si="359"/>
        <v>0.28799999999999998</v>
      </c>
      <c r="G254" s="222">
        <f t="shared" si="342"/>
        <v>0.18</v>
      </c>
      <c r="H254" s="222">
        <f t="shared" si="343"/>
        <v>3.4559999999999995</v>
      </c>
      <c r="I254" s="222">
        <f t="shared" si="344"/>
        <v>2.16</v>
      </c>
      <c r="J254" s="556">
        <f t="shared" si="310"/>
        <v>42</v>
      </c>
      <c r="K254" s="452">
        <f t="shared" si="311"/>
        <v>12.25</v>
      </c>
      <c r="L254" s="452">
        <f t="shared" si="312"/>
        <v>54.25</v>
      </c>
      <c r="M254" s="452"/>
      <c r="N254" s="222">
        <f t="shared" si="313"/>
        <v>0.22580645161290322</v>
      </c>
      <c r="O254" s="177">
        <f t="shared" si="345"/>
        <v>11.36605459057072</v>
      </c>
      <c r="P254" s="177">
        <f t="shared" si="346"/>
        <v>11.543649193548385</v>
      </c>
      <c r="Q254" s="222">
        <f t="shared" si="316"/>
        <v>0.94717121588089326</v>
      </c>
      <c r="R254" s="222">
        <f t="shared" si="347"/>
        <v>0.94717121588089326</v>
      </c>
      <c r="S254" s="222">
        <f t="shared" si="348"/>
        <v>12</v>
      </c>
      <c r="T254" s="222">
        <f t="shared" si="349"/>
        <v>1.2466595059076262</v>
      </c>
      <c r="U254" s="222">
        <f t="shared" si="320"/>
        <v>0.20777658431793769</v>
      </c>
      <c r="V254" s="222">
        <f t="shared" si="321"/>
        <v>0.71237686051864368</v>
      </c>
      <c r="W254" s="202">
        <f t="shared" si="322"/>
        <v>350</v>
      </c>
      <c r="X254" s="452">
        <f t="shared" si="323"/>
        <v>350</v>
      </c>
      <c r="Z254" s="222">
        <f t="shared" si="324"/>
        <v>3.8709677419354835</v>
      </c>
      <c r="AA254" s="178">
        <f t="shared" si="325"/>
        <v>2.2119815668202762</v>
      </c>
      <c r="AB254" s="178">
        <f t="shared" si="350"/>
        <v>0.92211638517569838</v>
      </c>
      <c r="AC254" s="178"/>
      <c r="AD254" s="178">
        <f t="shared" si="327"/>
        <v>0.46857142857142853</v>
      </c>
      <c r="AE254" s="560">
        <f t="shared" si="351"/>
        <v>1499.1076740035694</v>
      </c>
      <c r="AF254" s="543">
        <f t="shared" si="352"/>
        <v>6.723999999999998E-2</v>
      </c>
      <c r="AH254" s="178">
        <f t="shared" si="353"/>
        <v>2.1411421708794505</v>
      </c>
      <c r="AI254" s="178">
        <f t="shared" si="354"/>
        <v>2.1411421708794505</v>
      </c>
      <c r="AJ254" s="178">
        <f t="shared" si="355"/>
        <v>2.1786238302810745</v>
      </c>
      <c r="AL254" s="560">
        <f t="shared" si="356"/>
        <v>288</v>
      </c>
      <c r="AM254" s="470">
        <f t="shared" si="357"/>
        <v>350</v>
      </c>
      <c r="AO254">
        <f t="shared" si="335"/>
        <v>288</v>
      </c>
      <c r="AP254">
        <f t="shared" si="336"/>
        <v>350</v>
      </c>
      <c r="AR254" s="6">
        <f t="shared" si="300"/>
        <v>2.8571428571428572</v>
      </c>
      <c r="AS254" s="6">
        <f t="shared" si="339"/>
        <v>0.35685702847990841</v>
      </c>
      <c r="AT254" s="6">
        <f t="shared" si="340"/>
        <v>2.5002858286629488</v>
      </c>
      <c r="AU254" s="178">
        <f t="shared" si="341"/>
        <v>0.12489995996796795</v>
      </c>
      <c r="AW254" s="6">
        <f>L*Iout^2/(2*Vripple1_spec*Vout*Npri_sec1^2)*1000000000*((1+N254)/(1-N254))^2</f>
        <v>3.8996913580246928</v>
      </c>
      <c r="AX254" s="6">
        <f>L*F254^2/(2*Cout*Vout*Nps^2)*1000000000*((1+N254)/(1-N254))^2+F254*RCoutEsr</f>
        <v>2.1543829787234046</v>
      </c>
      <c r="AY254" s="6">
        <f>L*Iout2^2/(2*Vout_ripple2*Vout2*Npri_sec2^2)*1000000000*((1+N254)/(1-N254))^2</f>
        <v>1.5233169367283956</v>
      </c>
      <c r="AZ254" s="6">
        <f>L*G254^2/(2*Cout2*Vout2*Npri_sec2^2)*1000000000*((1+N254)/(1-N254))^2+G254*CoutEsr2</f>
        <v>1.0440558510638298</v>
      </c>
      <c r="BA254" s="6">
        <f>(H254+I254)/Efficiency/J254*AT254/Vinripple1</f>
        <v>0.52136285951066996</v>
      </c>
      <c r="BB254" s="6"/>
      <c r="CE254" s="577">
        <f t="shared" si="358"/>
        <v>-50</v>
      </c>
    </row>
    <row r="255" spans="5:83" x14ac:dyDescent="0.2">
      <c r="E255" s="175">
        <v>37</v>
      </c>
      <c r="F255" s="222">
        <f t="shared" si="359"/>
        <v>0.29599999999999999</v>
      </c>
      <c r="G255" s="222">
        <f t="shared" si="342"/>
        <v>0.185</v>
      </c>
      <c r="H255" s="222">
        <f t="shared" si="343"/>
        <v>3.5519999999999996</v>
      </c>
      <c r="I255" s="222">
        <f t="shared" si="344"/>
        <v>2.2199999999999998</v>
      </c>
      <c r="J255" s="556">
        <f t="shared" si="310"/>
        <v>42</v>
      </c>
      <c r="K255" s="452">
        <f t="shared" si="311"/>
        <v>12.25</v>
      </c>
      <c r="L255" s="452">
        <f t="shared" si="312"/>
        <v>54.25</v>
      </c>
      <c r="M255" s="452"/>
      <c r="N255" s="222">
        <f t="shared" si="313"/>
        <v>0.22580645161290322</v>
      </c>
      <c r="O255" s="177">
        <f t="shared" si="345"/>
        <v>11.36605459057072</v>
      </c>
      <c r="P255" s="177">
        <f t="shared" si="346"/>
        <v>11.543649193548385</v>
      </c>
      <c r="Q255" s="222">
        <f t="shared" si="316"/>
        <v>0.94717121588089326</v>
      </c>
      <c r="R255" s="222">
        <f t="shared" si="347"/>
        <v>0.94717121588089326</v>
      </c>
      <c r="S255" s="222">
        <f t="shared" si="348"/>
        <v>12</v>
      </c>
      <c r="T255" s="222">
        <f t="shared" si="349"/>
        <v>1.2812889366272824</v>
      </c>
      <c r="U255" s="222">
        <f t="shared" si="320"/>
        <v>0.21354815610454703</v>
      </c>
      <c r="V255" s="222">
        <f t="shared" si="321"/>
        <v>0.73216510664416135</v>
      </c>
      <c r="W255" s="202">
        <f t="shared" si="322"/>
        <v>350</v>
      </c>
      <c r="X255" s="452">
        <f t="shared" si="323"/>
        <v>350</v>
      </c>
      <c r="Z255" s="222">
        <f t="shared" si="324"/>
        <v>3.8709677419354835</v>
      </c>
      <c r="AA255" s="178">
        <f t="shared" si="325"/>
        <v>2.2119815668202762</v>
      </c>
      <c r="AB255" s="178">
        <f t="shared" si="350"/>
        <v>0.92211638517569838</v>
      </c>
      <c r="AC255" s="178"/>
      <c r="AD255" s="178">
        <f t="shared" si="327"/>
        <v>0.46857142857142853</v>
      </c>
      <c r="AE255" s="560">
        <f t="shared" si="351"/>
        <v>1540.7495538370019</v>
      </c>
      <c r="AF255" s="543">
        <f t="shared" si="352"/>
        <v>6.723999999999998E-2</v>
      </c>
      <c r="AH255" s="178">
        <f t="shared" si="353"/>
        <v>2.1706765615111516</v>
      </c>
      <c r="AI255" s="178">
        <f t="shared" si="354"/>
        <v>2.1706765615111516</v>
      </c>
      <c r="AJ255" s="178">
        <f t="shared" si="355"/>
        <v>2.2005011566749273</v>
      </c>
      <c r="AL255" s="560">
        <f t="shared" si="356"/>
        <v>296</v>
      </c>
      <c r="AM255" s="470">
        <f t="shared" si="357"/>
        <v>350</v>
      </c>
      <c r="AO255">
        <f t="shared" si="335"/>
        <v>296</v>
      </c>
      <c r="AP255">
        <f t="shared" si="336"/>
        <v>350</v>
      </c>
      <c r="AR255" s="6">
        <f t="shared" si="300"/>
        <v>2.8571428571428572</v>
      </c>
      <c r="AS255" s="6">
        <f t="shared" si="339"/>
        <v>0.36177942691852527</v>
      </c>
      <c r="AT255" s="6">
        <f t="shared" si="340"/>
        <v>2.4953634302243319</v>
      </c>
      <c r="AU255" s="178">
        <f t="shared" si="341"/>
        <v>0.12662279942148383</v>
      </c>
      <c r="AW255" s="6">
        <f>L*Iout^2/(2*Vripple1_spec*Vout*Npri_sec1^2)*1000000000*((1+N255)/(1-N255))^2</f>
        <v>3.8996913580246928</v>
      </c>
      <c r="AX255" s="6">
        <f>L*F255^2/(2*Cout*Vout*Nps^2)*1000000000*((1+N255)/(1-N255))^2+F255*RCoutEsr</f>
        <v>2.25106658786446</v>
      </c>
      <c r="AY255" s="6">
        <f>L*Iout2^2/(2*Vout_ripple2*Vout2*Npri_sec2^2)*1000000000*((1+N255)/(1-N255))^2</f>
        <v>1.5233169367283956</v>
      </c>
      <c r="AZ255" s="6">
        <f>L*G255^2/(2*Cout2*Vout2*Npri_sec2^2)*1000000000*((1+N255)/(1-N255))^2+G255*CoutEsr2</f>
        <v>1.0874478858845549</v>
      </c>
      <c r="BA255" s="6">
        <f>(H255+I255)/Efficiency/J255*AT255/Vinripple1</f>
        <v>0.53479022442234636</v>
      </c>
      <c r="BB255" s="6"/>
      <c r="CE255" s="577">
        <f t="shared" si="358"/>
        <v>-50</v>
      </c>
    </row>
    <row r="256" spans="5:83" x14ac:dyDescent="0.2">
      <c r="E256" s="175">
        <v>38</v>
      </c>
      <c r="F256" s="222">
        <f t="shared" si="359"/>
        <v>0.30400000000000005</v>
      </c>
      <c r="G256" s="222">
        <f t="shared" si="342"/>
        <v>0.19</v>
      </c>
      <c r="H256" s="222">
        <f t="shared" si="343"/>
        <v>3.6480000000000006</v>
      </c>
      <c r="I256" s="222">
        <f t="shared" si="344"/>
        <v>2.2800000000000002</v>
      </c>
      <c r="J256" s="556">
        <f t="shared" si="310"/>
        <v>42</v>
      </c>
      <c r="K256" s="452">
        <f t="shared" si="311"/>
        <v>12.25</v>
      </c>
      <c r="L256" s="452">
        <f t="shared" si="312"/>
        <v>54.25</v>
      </c>
      <c r="M256" s="452"/>
      <c r="N256" s="222">
        <f t="shared" si="313"/>
        <v>0.22580645161290322</v>
      </c>
      <c r="O256" s="177">
        <f t="shared" si="345"/>
        <v>11.36605459057072</v>
      </c>
      <c r="P256" s="177">
        <f t="shared" si="346"/>
        <v>11.543649193548385</v>
      </c>
      <c r="Q256" s="222">
        <f t="shared" si="316"/>
        <v>0.94717121588089326</v>
      </c>
      <c r="R256" s="222">
        <f t="shared" si="347"/>
        <v>0.94717121588089326</v>
      </c>
      <c r="S256" s="222">
        <f t="shared" si="348"/>
        <v>12</v>
      </c>
      <c r="T256" s="222">
        <f t="shared" si="349"/>
        <v>1.315918367346939</v>
      </c>
      <c r="U256" s="222">
        <f t="shared" si="320"/>
        <v>0.2193197278911565</v>
      </c>
      <c r="V256" s="222">
        <f t="shared" si="321"/>
        <v>0.75195335276967945</v>
      </c>
      <c r="W256" s="202">
        <f t="shared" si="322"/>
        <v>350</v>
      </c>
      <c r="X256" s="452">
        <f t="shared" si="323"/>
        <v>350</v>
      </c>
      <c r="Z256" s="222">
        <f t="shared" si="324"/>
        <v>3.8709677419354835</v>
      </c>
      <c r="AA256" s="178">
        <f t="shared" si="325"/>
        <v>2.2119815668202762</v>
      </c>
      <c r="AB256" s="178">
        <f t="shared" si="350"/>
        <v>0.92211638517569838</v>
      </c>
      <c r="AC256" s="178"/>
      <c r="AD256" s="178">
        <f t="shared" si="327"/>
        <v>0.46857142857142853</v>
      </c>
      <c r="AE256" s="560">
        <f t="shared" si="351"/>
        <v>1582.3914336704349</v>
      </c>
      <c r="AF256" s="543">
        <f t="shared" si="352"/>
        <v>6.723999999999998E-2</v>
      </c>
      <c r="AH256" s="178">
        <f t="shared" si="353"/>
        <v>2.1998144634194468</v>
      </c>
      <c r="AI256" s="178">
        <f t="shared" si="354"/>
        <v>2.1998144634194468</v>
      </c>
      <c r="AJ256" s="178">
        <f t="shared" si="355"/>
        <v>2.2220847877181087</v>
      </c>
      <c r="AL256" s="560">
        <f t="shared" si="356"/>
        <v>304.00000000000006</v>
      </c>
      <c r="AM256" s="470">
        <f t="shared" si="357"/>
        <v>350</v>
      </c>
      <c r="AO256">
        <f t="shared" si="335"/>
        <v>304.00000000000006</v>
      </c>
      <c r="AP256">
        <f t="shared" si="336"/>
        <v>350</v>
      </c>
      <c r="AR256" s="6">
        <f t="shared" si="300"/>
        <v>2.8571428571428572</v>
      </c>
      <c r="AS256" s="6">
        <f t="shared" si="339"/>
        <v>0.36663574390324105</v>
      </c>
      <c r="AT256" s="6">
        <f t="shared" si="340"/>
        <v>2.4905071132396159</v>
      </c>
      <c r="AU256" s="178">
        <f t="shared" si="341"/>
        <v>0.12832251036613437</v>
      </c>
      <c r="AW256" s="6">
        <f>L*Iout^2/(2*Vripple1_spec*Vout*Npri_sec1^2)*1000000000*((1+N256)/(1-N256))^2</f>
        <v>3.8996913580246928</v>
      </c>
      <c r="AX256" s="6">
        <f>L*F256^2/(2*Cout*Vout*Nps^2)*1000000000*((1+N256)/(1-N256))^2+F256*RCoutEsr</f>
        <v>2.3497415287628058</v>
      </c>
      <c r="AY256" s="6">
        <f>L*Iout2^2/(2*Vout_ripple2*Vout2*Npri_sec2^2)*1000000000*((1+N256)/(1-N256))^2</f>
        <v>1.5233169367283956</v>
      </c>
      <c r="AZ256" s="6">
        <f>L*G256^2/(2*Cout2*Vout2*Npri_sec2^2)*1000000000*((1+N256)/(1-N256))^2+G256*CoutEsr2</f>
        <v>1.1316177846729709</v>
      </c>
      <c r="BA256" s="6">
        <f>(H256+I256)/Efficiency/J256*AT256/Vinripple1</f>
        <v>0.54817511063898428</v>
      </c>
      <c r="BB256" s="6"/>
      <c r="CE256" s="577">
        <f t="shared" si="358"/>
        <v>-50</v>
      </c>
    </row>
    <row r="257" spans="5:83" x14ac:dyDescent="0.2">
      <c r="E257" s="175">
        <v>39</v>
      </c>
      <c r="F257" s="222">
        <f t="shared" si="359"/>
        <v>0.31200000000000006</v>
      </c>
      <c r="G257" s="222">
        <f t="shared" si="342"/>
        <v>0.19500000000000001</v>
      </c>
      <c r="H257" s="222">
        <f t="shared" si="343"/>
        <v>3.7440000000000007</v>
      </c>
      <c r="I257" s="222">
        <f t="shared" si="344"/>
        <v>2.34</v>
      </c>
      <c r="J257" s="556">
        <f t="shared" si="310"/>
        <v>42</v>
      </c>
      <c r="K257" s="452">
        <f t="shared" si="311"/>
        <v>12.25</v>
      </c>
      <c r="L257" s="452">
        <f t="shared" si="312"/>
        <v>54.25</v>
      </c>
      <c r="M257" s="452"/>
      <c r="N257" s="222">
        <f t="shared" si="313"/>
        <v>0.22580645161290322</v>
      </c>
      <c r="O257" s="177">
        <f t="shared" si="345"/>
        <v>11.36605459057072</v>
      </c>
      <c r="P257" s="177">
        <f t="shared" si="346"/>
        <v>11.543649193548385</v>
      </c>
      <c r="Q257" s="222">
        <f t="shared" si="316"/>
        <v>0.94717121588089326</v>
      </c>
      <c r="R257" s="222">
        <f t="shared" si="347"/>
        <v>0.94717121588089326</v>
      </c>
      <c r="S257" s="222">
        <f t="shared" si="348"/>
        <v>12</v>
      </c>
      <c r="T257" s="222">
        <f t="shared" si="349"/>
        <v>1.3505477980665952</v>
      </c>
      <c r="U257" s="222">
        <f t="shared" si="320"/>
        <v>0.22509129967776589</v>
      </c>
      <c r="V257" s="222">
        <f t="shared" si="321"/>
        <v>0.77174159889519733</v>
      </c>
      <c r="W257" s="202">
        <f t="shared" si="322"/>
        <v>350</v>
      </c>
      <c r="X257" s="452">
        <f t="shared" si="323"/>
        <v>350</v>
      </c>
      <c r="Z257" s="222">
        <f t="shared" si="324"/>
        <v>3.8709677419354835</v>
      </c>
      <c r="AA257" s="178">
        <f t="shared" si="325"/>
        <v>2.2119815668202762</v>
      </c>
      <c r="AB257" s="178">
        <f t="shared" si="350"/>
        <v>0.92211638517569838</v>
      </c>
      <c r="AC257" s="178"/>
      <c r="AD257" s="178">
        <f t="shared" si="327"/>
        <v>0.46857142857142853</v>
      </c>
      <c r="AE257" s="560">
        <f t="shared" si="351"/>
        <v>1624.0333135038672</v>
      </c>
      <c r="AF257" s="543">
        <f t="shared" si="352"/>
        <v>6.723999999999998E-2</v>
      </c>
      <c r="AH257" s="178">
        <f t="shared" si="353"/>
        <v>2.2285714285714286</v>
      </c>
      <c r="AI257" s="178">
        <f t="shared" si="354"/>
        <v>2.2285714285714286</v>
      </c>
      <c r="AJ257" s="178">
        <f t="shared" si="355"/>
        <v>2.2433862433862437</v>
      </c>
      <c r="AL257" s="560">
        <f t="shared" si="356"/>
        <v>312.00000000000006</v>
      </c>
      <c r="AM257" s="470">
        <f t="shared" si="357"/>
        <v>350</v>
      </c>
      <c r="AO257">
        <f t="shared" si="335"/>
        <v>312.00000000000006</v>
      </c>
      <c r="AP257">
        <f t="shared" si="336"/>
        <v>350</v>
      </c>
      <c r="AR257" s="6">
        <f t="shared" si="300"/>
        <v>2.8571428571428572</v>
      </c>
      <c r="AS257" s="6">
        <f t="shared" si="339"/>
        <v>0.37142857142857139</v>
      </c>
      <c r="AT257" s="6">
        <f t="shared" si="340"/>
        <v>2.4857142857142858</v>
      </c>
      <c r="AU257" s="178">
        <f t="shared" si="341"/>
        <v>0.12999999999999998</v>
      </c>
      <c r="AW257" s="6">
        <f>L*Iout^2/(2*Vripple1_spec*Vout*Npri_sec1^2)*1000000000*((1+N257)/(1-N257))^2</f>
        <v>3.8996913580246928</v>
      </c>
      <c r="AX257" s="6">
        <f>L*F257^2/(2*Cout*Vout*Nps^2)*1000000000*((1+N257)/(1-N257))^2+F257*RCoutEsr</f>
        <v>2.4504078014184412</v>
      </c>
      <c r="AY257" s="6">
        <f>L*Iout2^2/(2*Vout_ripple2*Vout2*Npri_sec2^2)*1000000000*((1+N257)/(1-N257))^2</f>
        <v>1.5233169367283956</v>
      </c>
      <c r="AZ257" s="6">
        <f>L*G257^2/(2*Cout2*Vout2*Npri_sec2^2)*1000000000*((1+N257)/(1-N257))^2+G257*CoutEsr2</f>
        <v>1.1765655474290782</v>
      </c>
      <c r="BA257" s="6">
        <f>(H257+I257)/Efficiency/J257*AT257/Vinripple1</f>
        <v>0.56151808091657718</v>
      </c>
      <c r="BB257" s="6"/>
      <c r="CE257" s="577">
        <f t="shared" si="358"/>
        <v>-50</v>
      </c>
    </row>
    <row r="258" spans="5:83" x14ac:dyDescent="0.2">
      <c r="E258" s="175">
        <v>40</v>
      </c>
      <c r="F258" s="222">
        <f t="shared" si="359"/>
        <v>0.32000000000000006</v>
      </c>
      <c r="G258" s="222">
        <f t="shared" si="342"/>
        <v>0.2</v>
      </c>
      <c r="H258" s="222">
        <f t="shared" si="343"/>
        <v>3.8400000000000007</v>
      </c>
      <c r="I258" s="222">
        <f t="shared" si="344"/>
        <v>2.4000000000000004</v>
      </c>
      <c r="J258" s="556">
        <f t="shared" si="310"/>
        <v>42</v>
      </c>
      <c r="K258" s="452">
        <f t="shared" si="311"/>
        <v>12.25</v>
      </c>
      <c r="L258" s="452">
        <f t="shared" si="312"/>
        <v>54.25</v>
      </c>
      <c r="M258" s="452"/>
      <c r="N258" s="222">
        <f t="shared" si="313"/>
        <v>0.22580645161290322</v>
      </c>
      <c r="O258" s="177">
        <f t="shared" si="345"/>
        <v>11.36605459057072</v>
      </c>
      <c r="P258" s="177">
        <f t="shared" si="346"/>
        <v>11.543649193548385</v>
      </c>
      <c r="Q258" s="222">
        <f t="shared" si="316"/>
        <v>0.94717121588089326</v>
      </c>
      <c r="R258" s="222">
        <f t="shared" si="347"/>
        <v>0.94717121588089326</v>
      </c>
      <c r="S258" s="222">
        <f t="shared" si="348"/>
        <v>12</v>
      </c>
      <c r="T258" s="222">
        <f t="shared" si="349"/>
        <v>1.3851772287862516</v>
      </c>
      <c r="U258" s="222">
        <f t="shared" si="320"/>
        <v>0.23086287146437526</v>
      </c>
      <c r="V258" s="222">
        <f t="shared" si="321"/>
        <v>0.79152984502071511</v>
      </c>
      <c r="W258" s="202">
        <f t="shared" si="322"/>
        <v>350</v>
      </c>
      <c r="X258" s="452">
        <f t="shared" si="323"/>
        <v>350</v>
      </c>
      <c r="Z258" s="222">
        <f t="shared" si="324"/>
        <v>3.8709677419354835</v>
      </c>
      <c r="AA258" s="178">
        <f t="shared" si="325"/>
        <v>2.2119815668202762</v>
      </c>
      <c r="AB258" s="178">
        <f t="shared" si="350"/>
        <v>0.92211638517569838</v>
      </c>
      <c r="AC258" s="178"/>
      <c r="AD258" s="178">
        <f t="shared" si="327"/>
        <v>0.46857142857142853</v>
      </c>
      <c r="AE258" s="560">
        <f t="shared" si="351"/>
        <v>1665.6751933372998</v>
      </c>
      <c r="AF258" s="543">
        <f t="shared" si="352"/>
        <v>6.723999999999998E-2</v>
      </c>
      <c r="AH258" s="178">
        <f t="shared" si="353"/>
        <v>2.2569620180721714</v>
      </c>
      <c r="AI258" s="178">
        <f t="shared" si="354"/>
        <v>2.2569620180721714</v>
      </c>
      <c r="AJ258" s="178">
        <f t="shared" si="355"/>
        <v>2.26441630968309</v>
      </c>
      <c r="AL258" s="560">
        <f t="shared" si="356"/>
        <v>320.00000000000006</v>
      </c>
      <c r="AM258" s="470">
        <f t="shared" si="357"/>
        <v>350</v>
      </c>
      <c r="AO258">
        <f t="shared" si="335"/>
        <v>320.00000000000006</v>
      </c>
      <c r="AP258">
        <f t="shared" si="336"/>
        <v>350</v>
      </c>
      <c r="AR258" s="6">
        <f t="shared" si="300"/>
        <v>2.8571428571428572</v>
      </c>
      <c r="AS258" s="6">
        <f t="shared" si="339"/>
        <v>0.37616033634536183</v>
      </c>
      <c r="AT258" s="6">
        <f t="shared" si="340"/>
        <v>2.4809825207974954</v>
      </c>
      <c r="AU258" s="178">
        <f t="shared" si="341"/>
        <v>0.13165611772087663</v>
      </c>
      <c r="AW258" s="6">
        <f>L*Iout^2/(2*Vripple1_spec*Vout*Npri_sec1^2)*1000000000*((1+N258)/(1-N258))^2</f>
        <v>3.8996913580246928</v>
      </c>
      <c r="AX258" s="6">
        <f>L*F258^2/(2*Cout*Vout*Nps^2)*1000000000*((1+N258)/(1-N258))^2+F258*RCoutEsr</f>
        <v>2.5530654058313642</v>
      </c>
      <c r="AY258" s="6">
        <f>L*Iout2^2/(2*Vout_ripple2*Vout2*Npri_sec2^2)*1000000000*((1+N258)/(1-N258))^2</f>
        <v>1.5233169367283956</v>
      </c>
      <c r="AZ258" s="6">
        <f>L*G258^2/(2*Cout2*Vout2*Npri_sec2^2)*1000000000*((1+N258)/(1-N258))^2+G258*CoutEsr2</f>
        <v>1.2222911741528768</v>
      </c>
      <c r="BA258" s="6">
        <f>(H258+I258)/Efficiency/J258*AT258/Vinripple1</f>
        <v>0.57481967621930286</v>
      </c>
      <c r="BB258" s="6"/>
      <c r="CE258" s="577">
        <f t="shared" si="358"/>
        <v>-50</v>
      </c>
    </row>
    <row r="259" spans="5:83" x14ac:dyDescent="0.2">
      <c r="E259" s="175">
        <v>41</v>
      </c>
      <c r="F259" s="222">
        <f t="shared" si="359"/>
        <v>0.32800000000000001</v>
      </c>
      <c r="G259" s="222">
        <f t="shared" si="342"/>
        <v>0.20499999999999999</v>
      </c>
      <c r="H259" s="222">
        <f t="shared" si="343"/>
        <v>3.9359999999999999</v>
      </c>
      <c r="I259" s="222">
        <f t="shared" si="344"/>
        <v>2.46</v>
      </c>
      <c r="J259" s="556">
        <f t="shared" si="310"/>
        <v>42</v>
      </c>
      <c r="K259" s="452">
        <f t="shared" si="311"/>
        <v>12.25</v>
      </c>
      <c r="L259" s="452">
        <f t="shared" si="312"/>
        <v>54.25</v>
      </c>
      <c r="M259" s="452"/>
      <c r="N259" s="222">
        <f t="shared" si="313"/>
        <v>0.22580645161290322</v>
      </c>
      <c r="O259" s="177">
        <f t="shared" si="345"/>
        <v>11.36605459057072</v>
      </c>
      <c r="P259" s="177">
        <f t="shared" si="346"/>
        <v>11.543649193548385</v>
      </c>
      <c r="Q259" s="222">
        <f t="shared" si="316"/>
        <v>0.94717121588089326</v>
      </c>
      <c r="R259" s="222">
        <f t="shared" si="347"/>
        <v>0.94717121588089326</v>
      </c>
      <c r="S259" s="222">
        <f t="shared" si="348"/>
        <v>12</v>
      </c>
      <c r="T259" s="222">
        <f t="shared" si="349"/>
        <v>1.4198066595059076</v>
      </c>
      <c r="U259" s="222">
        <f t="shared" si="320"/>
        <v>0.23663444325098459</v>
      </c>
      <c r="V259" s="222">
        <f t="shared" si="321"/>
        <v>0.81131809114623288</v>
      </c>
      <c r="W259" s="202">
        <f t="shared" si="322"/>
        <v>350</v>
      </c>
      <c r="X259" s="452">
        <f t="shared" si="323"/>
        <v>350</v>
      </c>
      <c r="Z259" s="222">
        <f t="shared" si="324"/>
        <v>3.8709677419354835</v>
      </c>
      <c r="AA259" s="178">
        <f t="shared" si="325"/>
        <v>2.2119815668202762</v>
      </c>
      <c r="AB259" s="178">
        <f t="shared" si="350"/>
        <v>0.92211638517569838</v>
      </c>
      <c r="AC259" s="178"/>
      <c r="AD259" s="178">
        <f t="shared" si="327"/>
        <v>0.46857142857142853</v>
      </c>
      <c r="AE259" s="560">
        <f t="shared" si="351"/>
        <v>1707.3170731707321</v>
      </c>
      <c r="AF259" s="543">
        <f t="shared" si="352"/>
        <v>6.723999999999998E-2</v>
      </c>
      <c r="AH259" s="178">
        <f t="shared" si="353"/>
        <v>2.2849998883579663</v>
      </c>
      <c r="AI259" s="178">
        <f t="shared" si="354"/>
        <v>2.2849998883579663</v>
      </c>
      <c r="AJ259" s="178">
        <f t="shared" si="355"/>
        <v>2.2851851024873824</v>
      </c>
      <c r="AL259" s="560">
        <f t="shared" si="356"/>
        <v>328</v>
      </c>
      <c r="AM259" s="470">
        <f t="shared" si="357"/>
        <v>350</v>
      </c>
      <c r="AO259">
        <f t="shared" si="335"/>
        <v>328</v>
      </c>
      <c r="AP259">
        <f t="shared" si="336"/>
        <v>350</v>
      </c>
      <c r="AR259" s="6">
        <f t="shared" si="300"/>
        <v>2.8571428571428572</v>
      </c>
      <c r="AS259" s="6">
        <f t="shared" si="339"/>
        <v>0.38083331472632775</v>
      </c>
      <c r="AT259" s="6">
        <f t="shared" si="340"/>
        <v>2.4763095424165296</v>
      </c>
      <c r="AU259" s="178">
        <f t="shared" si="341"/>
        <v>0.1332916601542147</v>
      </c>
      <c r="AW259" s="6">
        <f>L*Iout^2/(2*Vripple1_spec*Vout*Npri_sec1^2)*1000000000*((1+N259)/(1-N259))^2</f>
        <v>3.8996913580246928</v>
      </c>
      <c r="AX259" s="6">
        <f>L*F259^2/(2*Cout*Vout*Nps^2)*1000000000*((1+N259)/(1-N259))^2+F259*RCoutEsr</f>
        <v>2.6577143420015767</v>
      </c>
      <c r="AY259" s="6">
        <f>L*Iout2^2/(2*Vout_ripple2*Vout2*Npri_sec2^2)*1000000000*((1+N259)/(1-N259))^2</f>
        <v>1.5233169367283956</v>
      </c>
      <c r="AZ259" s="6">
        <f>L*G259^2/(2*Cout2*Vout2*Npri_sec2^2)*1000000000*((1+N259)/(1-N259))^2+G259*CoutEsr2</f>
        <v>1.268794664844366</v>
      </c>
      <c r="BA259" s="6">
        <f>(H259+I259)/Efficiency/J259*AT259/Vinripple1</f>
        <v>0.58808041709073133</v>
      </c>
      <c r="BB259" s="6"/>
      <c r="CE259" s="577">
        <f t="shared" si="358"/>
        <v>-50</v>
      </c>
    </row>
    <row r="260" spans="5:83" x14ac:dyDescent="0.2">
      <c r="E260" s="175">
        <v>42</v>
      </c>
      <c r="F260" s="222">
        <f t="shared" si="359"/>
        <v>0.33600000000000002</v>
      </c>
      <c r="G260" s="222">
        <f t="shared" si="342"/>
        <v>0.21</v>
      </c>
      <c r="H260" s="222">
        <f t="shared" si="343"/>
        <v>4.032</v>
      </c>
      <c r="I260" s="222">
        <f t="shared" si="344"/>
        <v>2.52</v>
      </c>
      <c r="J260" s="556">
        <f t="shared" si="310"/>
        <v>42</v>
      </c>
      <c r="K260" s="452">
        <f t="shared" si="311"/>
        <v>12.25</v>
      </c>
      <c r="L260" s="452">
        <f t="shared" si="312"/>
        <v>54.25</v>
      </c>
      <c r="M260" s="452"/>
      <c r="N260" s="222">
        <f t="shared" si="313"/>
        <v>0.22580645161290322</v>
      </c>
      <c r="O260" s="177">
        <f t="shared" si="345"/>
        <v>11.36605459057072</v>
      </c>
      <c r="P260" s="177">
        <f t="shared" si="346"/>
        <v>11.543649193548385</v>
      </c>
      <c r="Q260" s="222">
        <f t="shared" si="316"/>
        <v>0.94717121588089326</v>
      </c>
      <c r="R260" s="222">
        <f t="shared" si="347"/>
        <v>0.94717121588089326</v>
      </c>
      <c r="S260" s="222">
        <f t="shared" si="348"/>
        <v>12</v>
      </c>
      <c r="T260" s="222">
        <f t="shared" si="349"/>
        <v>1.4544360902255637</v>
      </c>
      <c r="U260" s="222">
        <f t="shared" si="320"/>
        <v>0.24240601503759399</v>
      </c>
      <c r="V260" s="222">
        <f t="shared" si="321"/>
        <v>0.83110633727175065</v>
      </c>
      <c r="W260" s="202">
        <f t="shared" si="322"/>
        <v>350</v>
      </c>
      <c r="X260" s="452">
        <f t="shared" si="323"/>
        <v>350</v>
      </c>
      <c r="Z260" s="222">
        <f t="shared" si="324"/>
        <v>3.8709677419354835</v>
      </c>
      <c r="AA260" s="178">
        <f t="shared" si="325"/>
        <v>2.2119815668202762</v>
      </c>
      <c r="AB260" s="178">
        <f t="shared" si="350"/>
        <v>0.92211638517569838</v>
      </c>
      <c r="AC260" s="178"/>
      <c r="AD260" s="178">
        <f t="shared" si="327"/>
        <v>0.46857142857142853</v>
      </c>
      <c r="AE260" s="560">
        <f t="shared" si="351"/>
        <v>1748.9589530041646</v>
      </c>
      <c r="AF260" s="543">
        <f t="shared" si="352"/>
        <v>6.723999999999998E-2</v>
      </c>
      <c r="AH260" s="178">
        <f t="shared" si="353"/>
        <v>2.3126978679826355</v>
      </c>
      <c r="AI260" s="178">
        <f t="shared" si="354"/>
        <v>2.3126978679826355</v>
      </c>
      <c r="AJ260" s="178">
        <f t="shared" si="355"/>
        <v>2.3057021244315821</v>
      </c>
      <c r="AL260" s="560">
        <f t="shared" si="356"/>
        <v>336</v>
      </c>
      <c r="AM260" s="470">
        <f t="shared" si="357"/>
        <v>350</v>
      </c>
      <c r="AO260">
        <f t="shared" si="335"/>
        <v>336</v>
      </c>
      <c r="AP260">
        <f t="shared" si="336"/>
        <v>350</v>
      </c>
      <c r="AR260" s="6">
        <f t="shared" si="300"/>
        <v>2.8571428571428572</v>
      </c>
      <c r="AS260" s="6">
        <f t="shared" si="339"/>
        <v>0.38544964466377252</v>
      </c>
      <c r="AT260" s="6">
        <f t="shared" si="340"/>
        <v>2.4716932124790847</v>
      </c>
      <c r="AU260" s="178">
        <f t="shared" si="341"/>
        <v>0.13490737563232039</v>
      </c>
      <c r="AW260" s="6">
        <f>L*Iout^2/(2*Vripple1_spec*Vout*Npri_sec1^2)*1000000000*((1+N260)/(1-N260))^2</f>
        <v>3.8996913580246928</v>
      </c>
      <c r="AX260" s="6">
        <f>L*F260^2/(2*Cout*Vout*Nps^2)*1000000000*((1+N260)/(1-N260))^2+F260*RCoutEsr</f>
        <v>2.7643546099290788</v>
      </c>
      <c r="AY260" s="6">
        <f>L*Iout2^2/(2*Vout_ripple2*Vout2*Npri_sec2^2)*1000000000*((1+N260)/(1-N260))^2</f>
        <v>1.5233169367283956</v>
      </c>
      <c r="AZ260" s="6">
        <f>L*G260^2/(2*Cout2*Vout2*Npri_sec2^2)*1000000000*((1+N260)/(1-N260))^2+G260*CoutEsr2</f>
        <v>1.3160760195035461</v>
      </c>
      <c r="BA260" s="6">
        <f>(H260+I260)/Efficiency/J260*AT260/Vinripple1</f>
        <v>0.60130080490719251</v>
      </c>
      <c r="BB260" s="6"/>
      <c r="CE260" s="577">
        <f t="shared" si="358"/>
        <v>-50</v>
      </c>
    </row>
    <row r="261" spans="5:83" x14ac:dyDescent="0.2">
      <c r="E261" s="175">
        <v>43</v>
      </c>
      <c r="F261" s="222">
        <f t="shared" si="359"/>
        <v>0.34400000000000003</v>
      </c>
      <c r="G261" s="222">
        <f t="shared" si="342"/>
        <v>0.215</v>
      </c>
      <c r="H261" s="222">
        <f t="shared" si="343"/>
        <v>4.1280000000000001</v>
      </c>
      <c r="I261" s="222">
        <f t="shared" si="344"/>
        <v>2.58</v>
      </c>
      <c r="J261" s="556">
        <f t="shared" si="310"/>
        <v>42</v>
      </c>
      <c r="K261" s="452">
        <f t="shared" si="311"/>
        <v>12.25</v>
      </c>
      <c r="L261" s="452">
        <f t="shared" si="312"/>
        <v>54.25</v>
      </c>
      <c r="M261" s="452"/>
      <c r="N261" s="222">
        <f t="shared" si="313"/>
        <v>0.22580645161290322</v>
      </c>
      <c r="O261" s="177">
        <f t="shared" si="345"/>
        <v>11.36605459057072</v>
      </c>
      <c r="P261" s="177">
        <f t="shared" si="346"/>
        <v>11.543649193548385</v>
      </c>
      <c r="Q261" s="222">
        <f t="shared" si="316"/>
        <v>0.94717121588089326</v>
      </c>
      <c r="R261" s="222">
        <f t="shared" si="347"/>
        <v>0.94717121588089326</v>
      </c>
      <c r="S261" s="222">
        <f t="shared" si="348"/>
        <v>12</v>
      </c>
      <c r="T261" s="222">
        <f t="shared" si="349"/>
        <v>1.4890655209452202</v>
      </c>
      <c r="U261" s="222">
        <f t="shared" si="320"/>
        <v>0.24817758682420338</v>
      </c>
      <c r="V261" s="222">
        <f t="shared" si="321"/>
        <v>0.85089458339726864</v>
      </c>
      <c r="W261" s="202">
        <f t="shared" si="322"/>
        <v>350</v>
      </c>
      <c r="X261" s="452">
        <f t="shared" si="323"/>
        <v>350</v>
      </c>
      <c r="Z261" s="222">
        <f t="shared" si="324"/>
        <v>3.8709677419354835</v>
      </c>
      <c r="AA261" s="178">
        <f t="shared" si="325"/>
        <v>2.2119815668202762</v>
      </c>
      <c r="AB261" s="178">
        <f t="shared" si="350"/>
        <v>0.92211638517569838</v>
      </c>
      <c r="AC261" s="178"/>
      <c r="AD261" s="178">
        <f t="shared" si="327"/>
        <v>0.46857142857142853</v>
      </c>
      <c r="AE261" s="560">
        <f t="shared" si="351"/>
        <v>1790.6008328375972</v>
      </c>
      <c r="AF261" s="543">
        <f t="shared" si="352"/>
        <v>6.723999999999998E-2</v>
      </c>
      <c r="AH261" s="178">
        <f t="shared" si="353"/>
        <v>2.3400680262220881</v>
      </c>
      <c r="AI261" s="178">
        <f t="shared" si="354"/>
        <v>2.3400680262220881</v>
      </c>
      <c r="AJ261" s="178">
        <f t="shared" si="355"/>
        <v>2.3259763157200655</v>
      </c>
      <c r="AL261" s="560">
        <f t="shared" si="356"/>
        <v>344</v>
      </c>
      <c r="AM261" s="470">
        <f t="shared" si="357"/>
        <v>350</v>
      </c>
      <c r="AO261">
        <f t="shared" si="335"/>
        <v>344</v>
      </c>
      <c r="AP261">
        <f t="shared" si="336"/>
        <v>350</v>
      </c>
      <c r="AR261" s="6">
        <f t="shared" si="300"/>
        <v>2.8571428571428572</v>
      </c>
      <c r="AS261" s="6">
        <f t="shared" si="339"/>
        <v>0.39001133770368129</v>
      </c>
      <c r="AT261" s="6">
        <f t="shared" si="340"/>
        <v>2.4671315194391759</v>
      </c>
      <c r="AU261" s="178">
        <f t="shared" si="341"/>
        <v>0.13650396819628846</v>
      </c>
      <c r="AW261" s="6">
        <f>L*Iout^2/(2*Vripple1_spec*Vout*Npri_sec1^2)*1000000000*((1+N261)/(1-N261))^2</f>
        <v>3.8996913580246928</v>
      </c>
      <c r="AX261" s="6">
        <f>L*F261^2/(2*Cout*Vout*Nps^2)*1000000000*((1+N261)/(1-N261))^2+F261*RCoutEsr</f>
        <v>2.8729862096138703</v>
      </c>
      <c r="AY261" s="6">
        <f>L*Iout2^2/(2*Vout_ripple2*Vout2*Npri_sec2^2)*1000000000*((1+N261)/(1-N261))^2</f>
        <v>1.5233169367283956</v>
      </c>
      <c r="AZ261" s="6">
        <f>L*G261^2/(2*Cout2*Vout2*Npri_sec2^2)*1000000000*((1+N261)/(1-N261))^2+G261*CoutEsr2</f>
        <v>1.3641352381304177</v>
      </c>
      <c r="BA261" s="6">
        <f>(H261+I261)/Efficiency/J261*AT261/Vinripple1</f>
        <v>0.61448132302600911</v>
      </c>
      <c r="BB261" s="6"/>
      <c r="CE261" s="577">
        <f t="shared" si="358"/>
        <v>-50</v>
      </c>
    </row>
    <row r="262" spans="5:83" x14ac:dyDescent="0.2">
      <c r="E262" s="175">
        <v>44</v>
      </c>
      <c r="F262" s="222">
        <f t="shared" si="359"/>
        <v>0.35200000000000004</v>
      </c>
      <c r="G262" s="222">
        <f t="shared" si="342"/>
        <v>0.22</v>
      </c>
      <c r="H262" s="222">
        <f t="shared" si="343"/>
        <v>4.2240000000000002</v>
      </c>
      <c r="I262" s="222">
        <f t="shared" si="344"/>
        <v>2.64</v>
      </c>
      <c r="J262" s="556">
        <f t="shared" si="310"/>
        <v>42</v>
      </c>
      <c r="K262" s="452">
        <f t="shared" si="311"/>
        <v>12.25</v>
      </c>
      <c r="L262" s="452">
        <f t="shared" si="312"/>
        <v>54.25</v>
      </c>
      <c r="M262" s="452"/>
      <c r="N262" s="222">
        <f t="shared" si="313"/>
        <v>0.22580645161290322</v>
      </c>
      <c r="O262" s="177">
        <f t="shared" si="345"/>
        <v>11.36605459057072</v>
      </c>
      <c r="P262" s="177">
        <f t="shared" si="346"/>
        <v>11.543649193548385</v>
      </c>
      <c r="Q262" s="222">
        <f t="shared" si="316"/>
        <v>0.94717121588089326</v>
      </c>
      <c r="R262" s="222">
        <f t="shared" si="347"/>
        <v>0.94717121588089326</v>
      </c>
      <c r="S262" s="222">
        <f t="shared" si="348"/>
        <v>12</v>
      </c>
      <c r="T262" s="222">
        <f t="shared" si="349"/>
        <v>1.5236949516648766</v>
      </c>
      <c r="U262" s="222">
        <f t="shared" si="320"/>
        <v>0.25394915861081274</v>
      </c>
      <c r="V262" s="222">
        <f t="shared" si="321"/>
        <v>0.87068282952278653</v>
      </c>
      <c r="W262" s="202">
        <f t="shared" si="322"/>
        <v>350</v>
      </c>
      <c r="X262" s="452">
        <f t="shared" si="323"/>
        <v>350</v>
      </c>
      <c r="Z262" s="222">
        <f t="shared" si="324"/>
        <v>3.8709677419354835</v>
      </c>
      <c r="AA262" s="178">
        <f t="shared" si="325"/>
        <v>2.2119815668202762</v>
      </c>
      <c r="AB262" s="178">
        <f t="shared" si="350"/>
        <v>0.92211638517569838</v>
      </c>
      <c r="AC262" s="178"/>
      <c r="AD262" s="178">
        <f t="shared" si="327"/>
        <v>0.46857142857142853</v>
      </c>
      <c r="AE262" s="560">
        <f t="shared" si="351"/>
        <v>1832.2427126710295</v>
      </c>
      <c r="AF262" s="543">
        <f t="shared" si="352"/>
        <v>6.723999999999998E-2</v>
      </c>
      <c r="AH262" s="178">
        <f t="shared" si="353"/>
        <v>2.3671217345380549</v>
      </c>
      <c r="AI262" s="178">
        <f t="shared" si="354"/>
        <v>2.3671217345380549</v>
      </c>
      <c r="AJ262" s="178">
        <f t="shared" si="355"/>
        <v>2.3460160996578185</v>
      </c>
      <c r="AL262" s="560">
        <f t="shared" si="356"/>
        <v>352.00000000000006</v>
      </c>
      <c r="AM262" s="470">
        <f t="shared" si="357"/>
        <v>350</v>
      </c>
      <c r="AO262">
        <f t="shared" si="335"/>
        <v>352.00000000000006</v>
      </c>
      <c r="AP262">
        <f t="shared" si="336"/>
        <v>350</v>
      </c>
      <c r="AR262" s="6">
        <f t="shared" si="300"/>
        <v>2.8571428571428572</v>
      </c>
      <c r="AS262" s="6">
        <f t="shared" si="339"/>
        <v>0.39452028908967579</v>
      </c>
      <c r="AT262" s="6">
        <f t="shared" si="340"/>
        <v>2.4626225680531815</v>
      </c>
      <c r="AU262" s="178">
        <f t="shared" si="341"/>
        <v>0.13808210118138653</v>
      </c>
      <c r="AW262" s="6">
        <f>L*Iout^2/(2*Vripple1_spec*Vout*Npri_sec1^2)*1000000000*((1+N262)/(1-N262))^2</f>
        <v>3.8996913580246928</v>
      </c>
      <c r="AX262" s="6">
        <f>L*F262^2/(2*Cout*Vout*Nps^2)*1000000000*((1+N262)/(1-N262))^2+F262*RCoutEsr</f>
        <v>2.9836091410559504</v>
      </c>
      <c r="AY262" s="6">
        <f>L*Iout2^2/(2*Vout_ripple2*Vout2*Npri_sec2^2)*1000000000*((1+N262)/(1-N262))^2</f>
        <v>1.5233169367283956</v>
      </c>
      <c r="AZ262" s="6">
        <f>L*G262^2/(2*Cout2*Vout2*Npri_sec2^2)*1000000000*((1+N262)/(1-N262))^2+G262*CoutEsr2</f>
        <v>1.4129723207249807</v>
      </c>
      <c r="BA262" s="6">
        <f>(H262+I262)/Efficiency/J262*AT262/Vinripple1</f>
        <v>0.62762243783967475</v>
      </c>
      <c r="BB262" s="6"/>
      <c r="CE262" s="577">
        <f t="shared" si="358"/>
        <v>-50</v>
      </c>
    </row>
    <row r="263" spans="5:83" x14ac:dyDescent="0.2">
      <c r="E263" s="175">
        <v>45</v>
      </c>
      <c r="F263" s="222">
        <f t="shared" si="359"/>
        <v>0.36000000000000004</v>
      </c>
      <c r="G263" s="222">
        <f t="shared" si="342"/>
        <v>0.22500000000000001</v>
      </c>
      <c r="H263" s="222">
        <f t="shared" si="343"/>
        <v>4.32</v>
      </c>
      <c r="I263" s="222">
        <f t="shared" si="344"/>
        <v>2.7</v>
      </c>
      <c r="J263" s="556">
        <f t="shared" si="310"/>
        <v>42</v>
      </c>
      <c r="K263" s="452">
        <f t="shared" si="311"/>
        <v>12.25</v>
      </c>
      <c r="L263" s="452">
        <f t="shared" si="312"/>
        <v>54.25</v>
      </c>
      <c r="M263" s="452"/>
      <c r="N263" s="222">
        <f t="shared" si="313"/>
        <v>0.22580645161290322</v>
      </c>
      <c r="O263" s="177">
        <f t="shared" si="345"/>
        <v>11.36605459057072</v>
      </c>
      <c r="P263" s="177">
        <f t="shared" si="346"/>
        <v>11.543649193548385</v>
      </c>
      <c r="Q263" s="222">
        <f t="shared" si="316"/>
        <v>0.94717121588089326</v>
      </c>
      <c r="R263" s="222">
        <f t="shared" si="347"/>
        <v>0.94717121588089326</v>
      </c>
      <c r="S263" s="222">
        <f t="shared" si="348"/>
        <v>12</v>
      </c>
      <c r="T263" s="222">
        <f t="shared" si="349"/>
        <v>1.5583243823845327</v>
      </c>
      <c r="U263" s="222">
        <f t="shared" si="320"/>
        <v>0.25972073039742216</v>
      </c>
      <c r="V263" s="222">
        <f t="shared" si="321"/>
        <v>0.89047107564830452</v>
      </c>
      <c r="W263" s="202">
        <f t="shared" si="322"/>
        <v>350</v>
      </c>
      <c r="X263" s="452">
        <f t="shared" si="323"/>
        <v>350</v>
      </c>
      <c r="Z263" s="222">
        <f t="shared" si="324"/>
        <v>3.8709677419354835</v>
      </c>
      <c r="AA263" s="178">
        <f t="shared" si="325"/>
        <v>2.2119815668202762</v>
      </c>
      <c r="AB263" s="178">
        <f t="shared" si="350"/>
        <v>0.92211638517569838</v>
      </c>
      <c r="AC263" s="178"/>
      <c r="AD263" s="178">
        <f t="shared" si="327"/>
        <v>0.46857142857142853</v>
      </c>
      <c r="AE263" s="560">
        <f t="shared" si="351"/>
        <v>1873.884592504462</v>
      </c>
      <c r="AF263" s="543">
        <f t="shared" si="352"/>
        <v>6.723999999999998E-2</v>
      </c>
      <c r="AH263" s="178">
        <f t="shared" si="353"/>
        <v>2.3938697217889615</v>
      </c>
      <c r="AI263" s="178">
        <f t="shared" si="354"/>
        <v>2.3938697217889615</v>
      </c>
      <c r="AJ263" s="178">
        <f t="shared" si="355"/>
        <v>2.3658294235473791</v>
      </c>
      <c r="AL263" s="560">
        <f t="shared" si="356"/>
        <v>360.00000000000006</v>
      </c>
      <c r="AM263" s="470">
        <f t="shared" si="357"/>
        <v>350</v>
      </c>
      <c r="AO263">
        <f t="shared" si="335"/>
        <v>360.00000000000006</v>
      </c>
      <c r="AP263">
        <f t="shared" si="336"/>
        <v>350</v>
      </c>
      <c r="AR263" s="6">
        <f t="shared" si="300"/>
        <v>2.8571428571428572</v>
      </c>
      <c r="AS263" s="6">
        <f t="shared" si="339"/>
        <v>0.3989782869648269</v>
      </c>
      <c r="AT263" s="6">
        <f t="shared" si="340"/>
        <v>2.4581645701780301</v>
      </c>
      <c r="AU263" s="178">
        <f t="shared" si="341"/>
        <v>0.13964240043768941</v>
      </c>
      <c r="AW263" s="6">
        <f>L*Iout^2/(2*Vripple1_spec*Vout*Npri_sec1^2)*1000000000*((1+N263)/(1-N263))^2</f>
        <v>3.8996913580246928</v>
      </c>
      <c r="AX263" s="6">
        <f>L*F263^2/(2*Cout*Vout*Nps^2)*1000000000*((1+N263)/(1-N263))^2+F263*RCoutEsr</f>
        <v>3.0962234042553201</v>
      </c>
      <c r="AY263" s="6">
        <f>L*Iout2^2/(2*Vout_ripple2*Vout2*Npri_sec2^2)*1000000000*((1+N263)/(1-N263))^2</f>
        <v>1.5233169367283956</v>
      </c>
      <c r="AZ263" s="6">
        <f>L*G263^2/(2*Cout2*Vout2*Npri_sec2^2)*1000000000*((1+N263)/(1-N263))^2+G263*CoutEsr2</f>
        <v>1.4625872672872342</v>
      </c>
      <c r="BA263" s="6">
        <f>(H263+I263)/Efficiency/J263*AT263/Vinripple1</f>
        <v>0.64072459974565199</v>
      </c>
      <c r="BB263" s="6"/>
      <c r="CE263" s="577">
        <f t="shared" si="358"/>
        <v>-50</v>
      </c>
    </row>
    <row r="264" spans="5:83" x14ac:dyDescent="0.2">
      <c r="E264" s="175">
        <v>46</v>
      </c>
      <c r="F264" s="222">
        <f t="shared" si="359"/>
        <v>0.36800000000000005</v>
      </c>
      <c r="G264" s="222">
        <f t="shared" si="342"/>
        <v>0.23</v>
      </c>
      <c r="H264" s="222">
        <f t="shared" si="343"/>
        <v>4.4160000000000004</v>
      </c>
      <c r="I264" s="222">
        <f t="shared" si="344"/>
        <v>2.7600000000000002</v>
      </c>
      <c r="J264" s="556">
        <f t="shared" si="310"/>
        <v>42</v>
      </c>
      <c r="K264" s="452">
        <f t="shared" si="311"/>
        <v>12.25</v>
      </c>
      <c r="L264" s="452">
        <f t="shared" si="312"/>
        <v>54.25</v>
      </c>
      <c r="M264" s="452"/>
      <c r="N264" s="222">
        <f t="shared" si="313"/>
        <v>0.22580645161290322</v>
      </c>
      <c r="O264" s="177">
        <f t="shared" si="345"/>
        <v>11.36605459057072</v>
      </c>
      <c r="P264" s="177">
        <f t="shared" si="346"/>
        <v>11.543649193548385</v>
      </c>
      <c r="Q264" s="222">
        <f t="shared" si="316"/>
        <v>0.94717121588089326</v>
      </c>
      <c r="R264" s="222">
        <f t="shared" si="347"/>
        <v>0.94717121588089326</v>
      </c>
      <c r="S264" s="222">
        <f t="shared" si="348"/>
        <v>12</v>
      </c>
      <c r="T264" s="222">
        <f t="shared" si="349"/>
        <v>1.5929538131041892</v>
      </c>
      <c r="U264" s="222">
        <f t="shared" si="320"/>
        <v>0.26549230218403153</v>
      </c>
      <c r="V264" s="222">
        <f t="shared" si="321"/>
        <v>0.91025932177382229</v>
      </c>
      <c r="W264" s="202">
        <f t="shared" si="322"/>
        <v>350</v>
      </c>
      <c r="X264" s="452">
        <f t="shared" si="323"/>
        <v>350</v>
      </c>
      <c r="Z264" s="222">
        <f t="shared" si="324"/>
        <v>3.8709677419354835</v>
      </c>
      <c r="AA264" s="178">
        <f t="shared" si="325"/>
        <v>2.2119815668202762</v>
      </c>
      <c r="AB264" s="178">
        <f t="shared" si="350"/>
        <v>0.92211638517569838</v>
      </c>
      <c r="AC264" s="178"/>
      <c r="AD264" s="178">
        <f t="shared" si="327"/>
        <v>0.46857142857142853</v>
      </c>
      <c r="AE264" s="560">
        <f t="shared" si="351"/>
        <v>1915.5264723378946</v>
      </c>
      <c r="AF264" s="543">
        <f t="shared" si="352"/>
        <v>6.723999999999998E-2</v>
      </c>
      <c r="AH264" s="178">
        <f t="shared" si="353"/>
        <v>2.4203221239482708</v>
      </c>
      <c r="AI264" s="178">
        <f t="shared" si="354"/>
        <v>2.4203221239482708</v>
      </c>
      <c r="AJ264" s="178">
        <f t="shared" si="355"/>
        <v>2.3854237955172377</v>
      </c>
      <c r="AL264" s="560">
        <f t="shared" si="356"/>
        <v>368.00000000000006</v>
      </c>
      <c r="AM264" s="470">
        <f t="shared" si="357"/>
        <v>350</v>
      </c>
      <c r="AO264">
        <f t="shared" si="335"/>
        <v>368.00000000000006</v>
      </c>
      <c r="AP264">
        <f t="shared" si="336"/>
        <v>350</v>
      </c>
      <c r="AR264" s="6">
        <f t="shared" si="300"/>
        <v>2.8571428571428572</v>
      </c>
      <c r="AS264" s="6">
        <f t="shared" si="339"/>
        <v>0.4033870206580451</v>
      </c>
      <c r="AT264" s="6">
        <f t="shared" si="340"/>
        <v>2.4537558364848122</v>
      </c>
      <c r="AU264" s="178">
        <f t="shared" si="341"/>
        <v>0.14118545723031578</v>
      </c>
      <c r="AW264" s="6">
        <f>L*Iout^2/(2*Vripple1_spec*Vout*Npri_sec1^2)*1000000000*((1+N264)/(1-N264))^2</f>
        <v>3.8996913580246928</v>
      </c>
      <c r="AX264" s="6">
        <f>L*F264^2/(2*Cout*Vout*Nps^2)*1000000000*((1+N264)/(1-N264))^2+F264*RCoutEsr</f>
        <v>3.2108289992119792</v>
      </c>
      <c r="AY264" s="6">
        <f>L*Iout2^2/(2*Vout_ripple2*Vout2*Npri_sec2^2)*1000000000*((1+N264)/(1-N264))^2</f>
        <v>1.5233169367283956</v>
      </c>
      <c r="AZ264" s="6">
        <f>L*G264^2/(2*Cout2*Vout2*Npri_sec2^2)*1000000000*((1+N264)/(1-N264))^2+G264*CoutEsr2</f>
        <v>1.5129800778171791</v>
      </c>
      <c r="BA264" s="6">
        <f>(H264+I264)/Efficiency/J264*AT264/Vinripple1</f>
        <v>0.65378824404028635</v>
      </c>
      <c r="BB264" s="6"/>
      <c r="CE264" s="577">
        <f t="shared" si="358"/>
        <v>-50</v>
      </c>
    </row>
    <row r="265" spans="5:83" x14ac:dyDescent="0.2">
      <c r="E265" s="175">
        <v>47</v>
      </c>
      <c r="F265" s="222">
        <f t="shared" si="359"/>
        <v>0.376</v>
      </c>
      <c r="G265" s="222">
        <f t="shared" si="342"/>
        <v>0.23499999999999999</v>
      </c>
      <c r="H265" s="222">
        <f t="shared" si="343"/>
        <v>4.5120000000000005</v>
      </c>
      <c r="I265" s="222">
        <f t="shared" si="344"/>
        <v>2.82</v>
      </c>
      <c r="J265" s="556">
        <f t="shared" si="310"/>
        <v>42</v>
      </c>
      <c r="K265" s="452">
        <f t="shared" si="311"/>
        <v>12.25</v>
      </c>
      <c r="L265" s="452">
        <f t="shared" si="312"/>
        <v>54.25</v>
      </c>
      <c r="M265" s="452"/>
      <c r="N265" s="222">
        <f t="shared" si="313"/>
        <v>0.22580645161290322</v>
      </c>
      <c r="O265" s="177">
        <f t="shared" si="345"/>
        <v>11.36605459057072</v>
      </c>
      <c r="P265" s="177">
        <f t="shared" si="346"/>
        <v>11.543649193548385</v>
      </c>
      <c r="Q265" s="222">
        <f t="shared" si="316"/>
        <v>0.94717121588089326</v>
      </c>
      <c r="R265" s="222">
        <f t="shared" si="347"/>
        <v>0.94717121588089326</v>
      </c>
      <c r="S265" s="222">
        <f t="shared" si="348"/>
        <v>12</v>
      </c>
      <c r="T265" s="222">
        <f t="shared" si="349"/>
        <v>1.6275832438238456</v>
      </c>
      <c r="U265" s="222">
        <f t="shared" si="320"/>
        <v>0.27126387397064089</v>
      </c>
      <c r="V265" s="222">
        <f t="shared" si="321"/>
        <v>0.9300475678993404</v>
      </c>
      <c r="W265" s="202">
        <f t="shared" si="322"/>
        <v>350</v>
      </c>
      <c r="X265" s="452">
        <f t="shared" si="323"/>
        <v>350</v>
      </c>
      <c r="Z265" s="222">
        <f t="shared" si="324"/>
        <v>3.8709677419354835</v>
      </c>
      <c r="AA265" s="178">
        <f t="shared" si="325"/>
        <v>2.2119815668202762</v>
      </c>
      <c r="AB265" s="178">
        <f t="shared" si="350"/>
        <v>0.92211638517569838</v>
      </c>
      <c r="AC265" s="178"/>
      <c r="AD265" s="178">
        <f t="shared" si="327"/>
        <v>0.46857142857142853</v>
      </c>
      <c r="AE265" s="560">
        <f t="shared" si="351"/>
        <v>1957.1683521713269</v>
      </c>
      <c r="AF265" s="543">
        <f t="shared" si="352"/>
        <v>6.723999999999998E-2</v>
      </c>
      <c r="AH265" s="178">
        <f t="shared" si="353"/>
        <v>2.446488528983731</v>
      </c>
      <c r="AI265" s="178">
        <f t="shared" si="354"/>
        <v>2.446488528983731</v>
      </c>
      <c r="AJ265" s="178">
        <f t="shared" si="355"/>
        <v>2.4048063177657268</v>
      </c>
      <c r="AL265" s="560">
        <f t="shared" si="356"/>
        <v>376</v>
      </c>
      <c r="AM265" s="470">
        <f t="shared" si="357"/>
        <v>350</v>
      </c>
      <c r="AO265">
        <f t="shared" si="335"/>
        <v>376</v>
      </c>
      <c r="AP265">
        <f t="shared" si="336"/>
        <v>350</v>
      </c>
      <c r="AR265" s="6">
        <f t="shared" ref="AR265:AR318" si="360">1/AM265*1000</f>
        <v>2.8571428571428572</v>
      </c>
      <c r="AS265" s="6">
        <f t="shared" si="339"/>
        <v>0.40774808816395514</v>
      </c>
      <c r="AT265" s="6">
        <f t="shared" si="340"/>
        <v>2.4493947689789022</v>
      </c>
      <c r="AU265" s="178">
        <f t="shared" si="341"/>
        <v>0.14271183085738429</v>
      </c>
      <c r="AW265" s="6">
        <f>L*Iout^2/(2*Vripple1_spec*Vout*Npri_sec1^2)*1000000000*((1+N265)/(1-N265))^2</f>
        <v>3.8996913580246928</v>
      </c>
      <c r="AX265" s="6">
        <f>L*F265^2/(2*Cout*Vout*Nps^2)*1000000000*((1+N265)/(1-N265))^2+F265*RCoutEsr</f>
        <v>3.3274259259259269</v>
      </c>
      <c r="AY265" s="6">
        <f>L*Iout2^2/(2*Vout_ripple2*Vout2*Npri_sec2^2)*1000000000*((1+N265)/(1-N265))^2</f>
        <v>1.5233169367283956</v>
      </c>
      <c r="AZ265" s="6">
        <f>L*G265^2/(2*Cout2*Vout2*Npri_sec2^2)*1000000000*((1+N265)/(1-N265))^2+G265*CoutEsr2</f>
        <v>1.5641507523148148</v>
      </c>
      <c r="BA265" s="6">
        <f>(H265+I265)/Efficiency/J265*AT265/Vinripple1</f>
        <v>0.66681379174429822</v>
      </c>
      <c r="BB265" s="6"/>
      <c r="CE265" s="577">
        <f t="shared" si="358"/>
        <v>-50</v>
      </c>
    </row>
    <row r="266" spans="5:83" x14ac:dyDescent="0.2">
      <c r="E266" s="175">
        <v>48</v>
      </c>
      <c r="F266" s="222">
        <f t="shared" si="359"/>
        <v>0.38400000000000001</v>
      </c>
      <c r="G266" s="222">
        <f t="shared" si="342"/>
        <v>0.24</v>
      </c>
      <c r="H266" s="222">
        <f t="shared" si="343"/>
        <v>4.6080000000000005</v>
      </c>
      <c r="I266" s="222">
        <f t="shared" si="344"/>
        <v>2.88</v>
      </c>
      <c r="J266" s="556">
        <f t="shared" si="310"/>
        <v>42</v>
      </c>
      <c r="K266" s="452">
        <f t="shared" si="311"/>
        <v>12.25</v>
      </c>
      <c r="L266" s="452">
        <f t="shared" si="312"/>
        <v>54.25</v>
      </c>
      <c r="M266" s="452"/>
      <c r="N266" s="222">
        <f t="shared" si="313"/>
        <v>0.22580645161290322</v>
      </c>
      <c r="O266" s="177">
        <f t="shared" si="345"/>
        <v>11.36605459057072</v>
      </c>
      <c r="P266" s="177">
        <f t="shared" si="346"/>
        <v>11.543649193548385</v>
      </c>
      <c r="Q266" s="222">
        <f t="shared" si="316"/>
        <v>0.94717121588089326</v>
      </c>
      <c r="R266" s="222">
        <f t="shared" si="347"/>
        <v>0.94717121588089326</v>
      </c>
      <c r="S266" s="222">
        <f t="shared" si="348"/>
        <v>12</v>
      </c>
      <c r="T266" s="222">
        <f t="shared" si="349"/>
        <v>1.6622126745435017</v>
      </c>
      <c r="U266" s="222">
        <f t="shared" si="320"/>
        <v>0.27703544575725031</v>
      </c>
      <c r="V266" s="222">
        <f t="shared" si="321"/>
        <v>0.94983581402485817</v>
      </c>
      <c r="W266" s="202">
        <f t="shared" si="322"/>
        <v>350</v>
      </c>
      <c r="X266" s="452">
        <f t="shared" si="323"/>
        <v>350</v>
      </c>
      <c r="Z266" s="222">
        <f t="shared" si="324"/>
        <v>3.8709677419354835</v>
      </c>
      <c r="AA266" s="178">
        <f t="shared" si="325"/>
        <v>2.2119815668202762</v>
      </c>
      <c r="AB266" s="178">
        <f t="shared" si="350"/>
        <v>0.92211638517569838</v>
      </c>
      <c r="AC266" s="178"/>
      <c r="AD266" s="178">
        <f t="shared" si="327"/>
        <v>0.46857142857142853</v>
      </c>
      <c r="AE266" s="560">
        <f t="shared" si="351"/>
        <v>1998.8102320047597</v>
      </c>
      <c r="AF266" s="543">
        <f t="shared" si="352"/>
        <v>6.723999999999998E-2</v>
      </c>
      <c r="AH266" s="178">
        <f t="shared" si="353"/>
        <v>2.472378017461021</v>
      </c>
      <c r="AI266" s="178">
        <f t="shared" si="354"/>
        <v>2.472378017461021</v>
      </c>
      <c r="AJ266" s="178">
        <f t="shared" si="355"/>
        <v>2.4239837166377933</v>
      </c>
      <c r="AL266" s="560">
        <f t="shared" si="356"/>
        <v>384</v>
      </c>
      <c r="AM266" s="470">
        <f t="shared" si="357"/>
        <v>350</v>
      </c>
      <c r="AO266">
        <f t="shared" si="335"/>
        <v>384</v>
      </c>
      <c r="AP266">
        <f t="shared" si="336"/>
        <v>350</v>
      </c>
      <c r="AR266" s="6">
        <f t="shared" si="360"/>
        <v>2.8571428571428572</v>
      </c>
      <c r="AS266" s="6">
        <f t="shared" si="339"/>
        <v>0.41206300291017012</v>
      </c>
      <c r="AT266" s="6">
        <f t="shared" si="340"/>
        <v>2.445079854232687</v>
      </c>
      <c r="AU266" s="178">
        <f t="shared" si="341"/>
        <v>0.14422205101855953</v>
      </c>
      <c r="AW266" s="6">
        <f>L*Iout^2/(2*Vripple1_spec*Vout*Npri_sec1^2)*1000000000*((1+N266)/(1-N266))^2</f>
        <v>3.8996913580246928</v>
      </c>
      <c r="AX266" s="6">
        <f>L*F266^2/(2*Cout*Vout*Nps^2)*1000000000*((1+N266)/(1-N266))^2+F266*RCoutEsr</f>
        <v>3.4460141843971641</v>
      </c>
      <c r="AY266" s="6">
        <f>L*Iout2^2/(2*Vout_ripple2*Vout2*Npri_sec2^2)*1000000000*((1+N266)/(1-N266))^2</f>
        <v>1.5233169367283956</v>
      </c>
      <c r="AZ266" s="6">
        <f>L*G266^2/(2*Cout2*Vout2*Npri_sec2^2)*1000000000*((1+N266)/(1-N266))^2+G266*CoutEsr2</f>
        <v>1.6160992907801419</v>
      </c>
      <c r="BA266" s="6">
        <f>(H266+I266)/Efficiency/J266*AT266/Vinripple1</f>
        <v>0.67980165036644802</v>
      </c>
      <c r="BB266" s="6"/>
      <c r="CE266" s="577">
        <f t="shared" si="358"/>
        <v>-50</v>
      </c>
    </row>
    <row r="267" spans="5:83" x14ac:dyDescent="0.2">
      <c r="E267" s="175">
        <v>49</v>
      </c>
      <c r="F267" s="222">
        <f t="shared" si="359"/>
        <v>0.39200000000000002</v>
      </c>
      <c r="G267" s="222">
        <f t="shared" si="342"/>
        <v>0.245</v>
      </c>
      <c r="H267" s="222">
        <f t="shared" si="343"/>
        <v>4.7040000000000006</v>
      </c>
      <c r="I267" s="222">
        <f t="shared" si="344"/>
        <v>2.94</v>
      </c>
      <c r="J267" s="556">
        <f t="shared" si="310"/>
        <v>42</v>
      </c>
      <c r="K267" s="452">
        <f t="shared" si="311"/>
        <v>12.25</v>
      </c>
      <c r="L267" s="452">
        <f t="shared" si="312"/>
        <v>54.25</v>
      </c>
      <c r="M267" s="452"/>
      <c r="N267" s="222">
        <f t="shared" si="313"/>
        <v>0.22580645161290322</v>
      </c>
      <c r="O267" s="177">
        <f t="shared" si="345"/>
        <v>11.36605459057072</v>
      </c>
      <c r="P267" s="177">
        <f t="shared" si="346"/>
        <v>11.543649193548385</v>
      </c>
      <c r="Q267" s="222">
        <f t="shared" si="316"/>
        <v>0.94717121588089326</v>
      </c>
      <c r="R267" s="222">
        <f t="shared" si="347"/>
        <v>0.94717121588089326</v>
      </c>
      <c r="S267" s="222">
        <f t="shared" si="348"/>
        <v>12</v>
      </c>
      <c r="T267" s="222">
        <f t="shared" si="349"/>
        <v>1.6968421052631579</v>
      </c>
      <c r="U267" s="222">
        <f t="shared" si="320"/>
        <v>0.28280701754385962</v>
      </c>
      <c r="V267" s="222">
        <f t="shared" si="321"/>
        <v>0.96962406015037594</v>
      </c>
      <c r="W267" s="202">
        <f t="shared" si="322"/>
        <v>350</v>
      </c>
      <c r="X267" s="452">
        <f t="shared" si="323"/>
        <v>350</v>
      </c>
      <c r="Z267" s="222">
        <f t="shared" si="324"/>
        <v>3.8709677419354835</v>
      </c>
      <c r="AA267" s="178">
        <f t="shared" si="325"/>
        <v>2.2119815668202762</v>
      </c>
      <c r="AB267" s="178">
        <f t="shared" si="350"/>
        <v>0.92211638517569838</v>
      </c>
      <c r="AC267" s="178"/>
      <c r="AD267" s="178">
        <f t="shared" si="327"/>
        <v>0.46857142857142853</v>
      </c>
      <c r="AE267" s="560">
        <f t="shared" si="351"/>
        <v>2040.452111838192</v>
      </c>
      <c r="AF267" s="543">
        <f t="shared" si="352"/>
        <v>6.723999999999998E-2</v>
      </c>
      <c r="AH267" s="178">
        <f t="shared" si="353"/>
        <v>2.4979991993593593</v>
      </c>
      <c r="AI267" s="178">
        <f t="shared" si="354"/>
        <v>2.4979991993593593</v>
      </c>
      <c r="AJ267" s="178">
        <f t="shared" si="355"/>
        <v>2.4429623698958221</v>
      </c>
      <c r="AL267" s="560">
        <f t="shared" si="356"/>
        <v>392</v>
      </c>
      <c r="AM267" s="470">
        <f t="shared" si="357"/>
        <v>350</v>
      </c>
      <c r="AO267">
        <f t="shared" si="335"/>
        <v>392</v>
      </c>
      <c r="AP267">
        <f t="shared" si="336"/>
        <v>350</v>
      </c>
      <c r="AR267" s="6">
        <f t="shared" si="360"/>
        <v>2.8571428571428572</v>
      </c>
      <c r="AS267" s="6">
        <f t="shared" si="339"/>
        <v>0.41633319989322654</v>
      </c>
      <c r="AT267" s="6">
        <f t="shared" si="340"/>
        <v>2.4408096572496305</v>
      </c>
      <c r="AU267" s="178">
        <f t="shared" si="341"/>
        <v>0.14571661996262927</v>
      </c>
      <c r="AW267" s="6">
        <f>L*Iout^2/(2*Vripple1_spec*Vout*Npri_sec1^2)*1000000000*((1+N267)/(1-N267))^2</f>
        <v>3.8996913580246928</v>
      </c>
      <c r="AX267" s="6">
        <f>L*F267^2/(2*Cout*Vout*Nps^2)*1000000000*((1+N267)/(1-N267))^2+F267*RCoutEsr</f>
        <v>3.5665937746256908</v>
      </c>
      <c r="AY267" s="6">
        <f>L*Iout2^2/(2*Vout_ripple2*Vout2*Npri_sec2^2)*1000000000*((1+N267)/(1-N267))^2</f>
        <v>1.5233169367283956</v>
      </c>
      <c r="AZ267" s="6">
        <f>L*G267^2/(2*Cout2*Vout2*Npri_sec2^2)*1000000000*((1+N267)/(1-N267))^2+G267*CoutEsr2</f>
        <v>1.66882569321316</v>
      </c>
      <c r="BA267" s="6">
        <f>(H267+I267)/Efficiency/J267*AT267/Vinripple1</f>
        <v>0.69275221461120118</v>
      </c>
      <c r="BB267" s="6"/>
      <c r="CE267" s="577">
        <f t="shared" si="358"/>
        <v>-50</v>
      </c>
    </row>
    <row r="268" spans="5:83" x14ac:dyDescent="0.2">
      <c r="E268" s="175">
        <v>50</v>
      </c>
      <c r="F268" s="222">
        <f t="shared" si="359"/>
        <v>0.4</v>
      </c>
      <c r="G268" s="222">
        <f t="shared" si="342"/>
        <v>0.25</v>
      </c>
      <c r="H268" s="222">
        <f t="shared" si="343"/>
        <v>4.8000000000000007</v>
      </c>
      <c r="I268" s="222">
        <f t="shared" si="344"/>
        <v>3</v>
      </c>
      <c r="J268" s="556">
        <f t="shared" si="310"/>
        <v>42</v>
      </c>
      <c r="K268" s="452">
        <f t="shared" si="311"/>
        <v>12.25</v>
      </c>
      <c r="L268" s="452">
        <f t="shared" si="312"/>
        <v>54.25</v>
      </c>
      <c r="M268" s="452"/>
      <c r="N268" s="222">
        <f t="shared" si="313"/>
        <v>0.22580645161290322</v>
      </c>
      <c r="O268" s="177">
        <f t="shared" si="345"/>
        <v>11.36605459057072</v>
      </c>
      <c r="P268" s="177">
        <f t="shared" si="346"/>
        <v>11.543649193548385</v>
      </c>
      <c r="Q268" s="222">
        <f t="shared" si="316"/>
        <v>0.94717121588089326</v>
      </c>
      <c r="R268" s="222">
        <f t="shared" si="347"/>
        <v>0.94717121588089326</v>
      </c>
      <c r="S268" s="222">
        <f t="shared" si="348"/>
        <v>12</v>
      </c>
      <c r="T268" s="222">
        <f t="shared" si="349"/>
        <v>1.7314715359828143</v>
      </c>
      <c r="U268" s="222">
        <f t="shared" si="320"/>
        <v>0.28857858933046904</v>
      </c>
      <c r="V268" s="222">
        <f t="shared" si="321"/>
        <v>0.98941230627589383</v>
      </c>
      <c r="W268" s="202">
        <f t="shared" si="322"/>
        <v>350</v>
      </c>
      <c r="X268" s="452">
        <f t="shared" si="323"/>
        <v>350</v>
      </c>
      <c r="Z268" s="222">
        <f t="shared" si="324"/>
        <v>3.8709677419354835</v>
      </c>
      <c r="AA268" s="178">
        <f t="shared" si="325"/>
        <v>2.2119815668202762</v>
      </c>
      <c r="AB268" s="178">
        <f t="shared" si="350"/>
        <v>0.92211638517569838</v>
      </c>
      <c r="AC268" s="178"/>
      <c r="AD268" s="178">
        <f t="shared" si="327"/>
        <v>0.46857142857142853</v>
      </c>
      <c r="AE268" s="560">
        <f t="shared" si="351"/>
        <v>2082.0939916716247</v>
      </c>
      <c r="AF268" s="543">
        <f t="shared" si="352"/>
        <v>6.723999999999998E-2</v>
      </c>
      <c r="AH268" s="178">
        <f t="shared" si="353"/>
        <v>2.5233602475222421</v>
      </c>
      <c r="AI268" s="178">
        <f t="shared" si="354"/>
        <v>2.5233602475222421</v>
      </c>
      <c r="AJ268" s="178">
        <f t="shared" si="355"/>
        <v>2.4617483314979571</v>
      </c>
      <c r="AL268" s="560">
        <f t="shared" si="356"/>
        <v>400</v>
      </c>
      <c r="AM268" s="470">
        <f t="shared" si="357"/>
        <v>350</v>
      </c>
      <c r="AO268">
        <f t="shared" si="335"/>
        <v>400</v>
      </c>
      <c r="AP268">
        <f t="shared" si="336"/>
        <v>350</v>
      </c>
      <c r="AR268" s="6">
        <f t="shared" si="360"/>
        <v>2.8571428571428572</v>
      </c>
      <c r="AS268" s="6">
        <f t="shared" si="339"/>
        <v>0.420560041253707</v>
      </c>
      <c r="AT268" s="6">
        <f t="shared" si="340"/>
        <v>2.43658281588915</v>
      </c>
      <c r="AU268" s="178">
        <f t="shared" si="341"/>
        <v>0.14719601443879746</v>
      </c>
      <c r="AW268" s="6">
        <f>L*Iout^2/(2*Vripple1_spec*Vout*Npri_sec1^2)*1000000000*((1+N268)/(1-N268))^2</f>
        <v>3.8996913580246928</v>
      </c>
      <c r="AX268" s="6">
        <f>L*F268^2/(2*Cout*Vout*Nps^2)*1000000000*((1+N268)/(1-N268))^2+F268*RCoutEsr</f>
        <v>3.6891646966115066</v>
      </c>
      <c r="AY268" s="6">
        <f>L*Iout2^2/(2*Vout_ripple2*Vout2*Npri_sec2^2)*1000000000*((1+N268)/(1-N268))^2</f>
        <v>1.5233169367283956</v>
      </c>
      <c r="AZ268" s="6">
        <f>L*G268^2/(2*Cout2*Vout2*Npri_sec2^2)*1000000000*((1+N268)/(1-N268))^2+G268*CoutEsr2</f>
        <v>1.7223299596138695</v>
      </c>
      <c r="BA268" s="6">
        <f>(H268+I268)/Efficiency/J268*AT268/Vinripple1</f>
        <v>0.70566586703556566</v>
      </c>
      <c r="BB268" s="6"/>
      <c r="CE268" s="577">
        <f t="shared" si="358"/>
        <v>-50</v>
      </c>
    </row>
    <row r="269" spans="5:83" x14ac:dyDescent="0.2">
      <c r="E269" s="175">
        <v>51</v>
      </c>
      <c r="F269" s="222">
        <f t="shared" si="359"/>
        <v>0.40800000000000003</v>
      </c>
      <c r="G269" s="222">
        <f t="shared" si="342"/>
        <v>0.255</v>
      </c>
      <c r="H269" s="222">
        <f t="shared" si="343"/>
        <v>4.8960000000000008</v>
      </c>
      <c r="I269" s="222">
        <f t="shared" si="344"/>
        <v>3.06</v>
      </c>
      <c r="J269" s="556">
        <f t="shared" si="310"/>
        <v>42</v>
      </c>
      <c r="K269" s="452">
        <f t="shared" si="311"/>
        <v>12.25</v>
      </c>
      <c r="L269" s="452">
        <f t="shared" si="312"/>
        <v>54.25</v>
      </c>
      <c r="M269" s="452"/>
      <c r="N269" s="222">
        <f t="shared" si="313"/>
        <v>0.22580645161290322</v>
      </c>
      <c r="O269" s="177">
        <f t="shared" si="345"/>
        <v>11.36605459057072</v>
      </c>
      <c r="P269" s="177">
        <f t="shared" si="346"/>
        <v>11.543649193548385</v>
      </c>
      <c r="Q269" s="222">
        <f t="shared" si="316"/>
        <v>0.94717121588089326</v>
      </c>
      <c r="R269" s="222">
        <f t="shared" si="347"/>
        <v>0.94717121588089326</v>
      </c>
      <c r="S269" s="222">
        <f t="shared" si="348"/>
        <v>12</v>
      </c>
      <c r="T269" s="222">
        <f t="shared" si="349"/>
        <v>1.7661009667024707</v>
      </c>
      <c r="U269" s="222">
        <f t="shared" si="320"/>
        <v>0.29435016111707846</v>
      </c>
      <c r="V269" s="222">
        <f t="shared" si="321"/>
        <v>1.009200552401412</v>
      </c>
      <c r="W269" s="202">
        <f t="shared" si="322"/>
        <v>350</v>
      </c>
      <c r="X269" s="452">
        <f t="shared" si="323"/>
        <v>350</v>
      </c>
      <c r="Z269" s="222">
        <f t="shared" si="324"/>
        <v>3.8709677419354835</v>
      </c>
      <c r="AA269" s="178">
        <f t="shared" si="325"/>
        <v>2.2119815668202762</v>
      </c>
      <c r="AB269" s="178">
        <f t="shared" si="350"/>
        <v>0.92211638517569838</v>
      </c>
      <c r="AC269" s="178"/>
      <c r="AD269" s="178">
        <f t="shared" si="327"/>
        <v>0.46857142857142853</v>
      </c>
      <c r="AE269" s="560">
        <f t="shared" si="351"/>
        <v>2123.7358715050568</v>
      </c>
      <c r="AF269" s="543">
        <f t="shared" si="352"/>
        <v>6.723999999999998E-2</v>
      </c>
      <c r="AH269" s="178">
        <f t="shared" si="353"/>
        <v>2.5484689281117441</v>
      </c>
      <c r="AI269" s="178">
        <f t="shared" si="354"/>
        <v>2.5484689281117441</v>
      </c>
      <c r="AJ269" s="178">
        <f t="shared" si="355"/>
        <v>2.4803473541568479</v>
      </c>
      <c r="AL269" s="560">
        <f t="shared" si="356"/>
        <v>408.00000000000006</v>
      </c>
      <c r="AM269" s="470">
        <f t="shared" si="357"/>
        <v>350</v>
      </c>
      <c r="AO269">
        <f t="shared" si="335"/>
        <v>408.00000000000006</v>
      </c>
      <c r="AP269">
        <f t="shared" si="336"/>
        <v>350</v>
      </c>
      <c r="AR269" s="6">
        <f t="shared" si="360"/>
        <v>2.8571428571428572</v>
      </c>
      <c r="AS269" s="6">
        <f t="shared" si="339"/>
        <v>0.4247448213519574</v>
      </c>
      <c r="AT269" s="6">
        <f t="shared" si="340"/>
        <v>2.4323980357908996</v>
      </c>
      <c r="AU269" s="178">
        <f t="shared" si="341"/>
        <v>0.14866068747318509</v>
      </c>
      <c r="AW269" s="6">
        <f>L*Iout^2/(2*Vripple1_spec*Vout*Npri_sec1^2)*1000000000*((1+N269)/(1-N269))^2</f>
        <v>3.8996913580246928</v>
      </c>
      <c r="AX269" s="6">
        <f>L*F269^2/(2*Cout*Vout*Nps^2)*1000000000*((1+N269)/(1-N269))^2+F269*RCoutEsr</f>
        <v>3.813726950354611</v>
      </c>
      <c r="AY269" s="6">
        <f>L*Iout2^2/(2*Vout_ripple2*Vout2*Npri_sec2^2)*1000000000*((1+N269)/(1-N269))^2</f>
        <v>1.5233169367283956</v>
      </c>
      <c r="AZ269" s="6">
        <f>L*G269^2/(2*Cout2*Vout2*Npri_sec2^2)*1000000000*((1+N269)/(1-N269))^2+G269*CoutEsr2</f>
        <v>1.7766120899822697</v>
      </c>
      <c r="BA269" s="6">
        <f>(H269+I269)/Efficiency/J269*AT269/Vinripple1</f>
        <v>0.71854297865970096</v>
      </c>
      <c r="BB269" s="6"/>
      <c r="CE269" s="577">
        <f t="shared" si="358"/>
        <v>-50</v>
      </c>
    </row>
    <row r="270" spans="5:83" x14ac:dyDescent="0.2">
      <c r="E270" s="175">
        <v>52</v>
      </c>
      <c r="F270" s="222">
        <f t="shared" si="359"/>
        <v>0.41600000000000004</v>
      </c>
      <c r="G270" s="222">
        <f t="shared" si="342"/>
        <v>0.26</v>
      </c>
      <c r="H270" s="222">
        <f t="shared" si="343"/>
        <v>4.9920000000000009</v>
      </c>
      <c r="I270" s="222">
        <f t="shared" si="344"/>
        <v>3.12</v>
      </c>
      <c r="J270" s="556">
        <f t="shared" si="310"/>
        <v>42</v>
      </c>
      <c r="K270" s="452">
        <f t="shared" si="311"/>
        <v>12.25</v>
      </c>
      <c r="L270" s="452">
        <f t="shared" si="312"/>
        <v>54.25</v>
      </c>
      <c r="M270" s="452"/>
      <c r="N270" s="222">
        <f t="shared" si="313"/>
        <v>0.22580645161290322</v>
      </c>
      <c r="O270" s="177">
        <f t="shared" si="345"/>
        <v>11.36605459057072</v>
      </c>
      <c r="P270" s="177">
        <f t="shared" si="346"/>
        <v>11.543649193548385</v>
      </c>
      <c r="Q270" s="222">
        <f t="shared" si="316"/>
        <v>0.94717121588089326</v>
      </c>
      <c r="R270" s="222">
        <f t="shared" si="347"/>
        <v>0.94717121588089326</v>
      </c>
      <c r="S270" s="222">
        <f t="shared" si="348"/>
        <v>12</v>
      </c>
      <c r="T270" s="222">
        <f t="shared" si="349"/>
        <v>1.8007303974221271</v>
      </c>
      <c r="U270" s="222">
        <f t="shared" si="320"/>
        <v>0.30012173290368788</v>
      </c>
      <c r="V270" s="222">
        <f t="shared" si="321"/>
        <v>1.0289887985269297</v>
      </c>
      <c r="W270" s="202">
        <f t="shared" si="322"/>
        <v>350</v>
      </c>
      <c r="X270" s="452">
        <f t="shared" si="323"/>
        <v>350</v>
      </c>
      <c r="Z270" s="222">
        <f t="shared" si="324"/>
        <v>3.8709677419354835</v>
      </c>
      <c r="AA270" s="178">
        <f t="shared" si="325"/>
        <v>2.2119815668202762</v>
      </c>
      <c r="AB270" s="178">
        <f t="shared" si="350"/>
        <v>0.92211638517569838</v>
      </c>
      <c r="AC270" s="178"/>
      <c r="AD270" s="178">
        <f t="shared" si="327"/>
        <v>0.46857142857142853</v>
      </c>
      <c r="AE270" s="560">
        <f t="shared" si="351"/>
        <v>2165.3777513384898</v>
      </c>
      <c r="AF270" s="543">
        <f t="shared" si="352"/>
        <v>6.723999999999998E-2</v>
      </c>
      <c r="AH270" s="178">
        <f t="shared" si="353"/>
        <v>2.5733326283880467</v>
      </c>
      <c r="AI270" s="178">
        <f t="shared" si="354"/>
        <v>2.5733326283880467</v>
      </c>
      <c r="AJ270" s="178">
        <f t="shared" si="355"/>
        <v>2.4987649099170719</v>
      </c>
      <c r="AL270" s="560">
        <f t="shared" si="356"/>
        <v>416.00000000000006</v>
      </c>
      <c r="AM270" s="470">
        <f t="shared" si="357"/>
        <v>350</v>
      </c>
      <c r="AO270">
        <f t="shared" si="335"/>
        <v>416.00000000000006</v>
      </c>
      <c r="AP270">
        <f t="shared" si="336"/>
        <v>350</v>
      </c>
      <c r="AR270" s="6">
        <f t="shared" si="360"/>
        <v>2.8571428571428572</v>
      </c>
      <c r="AS270" s="6">
        <f t="shared" si="339"/>
        <v>0.4288887713980078</v>
      </c>
      <c r="AT270" s="6">
        <f t="shared" si="340"/>
        <v>2.4282540857448494</v>
      </c>
      <c r="AU270" s="178">
        <f t="shared" si="341"/>
        <v>0.15011106998930274</v>
      </c>
      <c r="AW270" s="6">
        <f>L*Iout^2/(2*Vripple1_spec*Vout*Npri_sec1^2)*1000000000*((1+N270)/(1-N270))^2</f>
        <v>3.8996913580246928</v>
      </c>
      <c r="AX270" s="6">
        <f>L*F270^2/(2*Cout*Vout*Nps^2)*1000000000*((1+N270)/(1-N270))^2+F270*RCoutEsr</f>
        <v>3.9402805358550053</v>
      </c>
      <c r="AY270" s="6">
        <f>L*Iout2^2/(2*Vout_ripple2*Vout2*Npri_sec2^2)*1000000000*((1+N270)/(1-N270))^2</f>
        <v>1.5233169367283956</v>
      </c>
      <c r="AZ270" s="6">
        <f>L*G270^2/(2*Cout2*Vout2*Npri_sec2^2)*1000000000*((1+N270)/(1-N270))^2+G270*CoutEsr2</f>
        <v>1.8316720843183614</v>
      </c>
      <c r="BA270" s="6">
        <f>(H270+I270)/Efficiency/J270*AT270/Vinripple1</f>
        <v>0.73138390953540233</v>
      </c>
      <c r="BB270" s="6"/>
      <c r="CE270" s="577">
        <f t="shared" si="358"/>
        <v>-50</v>
      </c>
    </row>
    <row r="271" spans="5:83" x14ac:dyDescent="0.2">
      <c r="E271" s="175">
        <v>53</v>
      </c>
      <c r="F271" s="222">
        <f t="shared" si="359"/>
        <v>0.42400000000000004</v>
      </c>
      <c r="G271" s="222">
        <f t="shared" si="342"/>
        <v>0.26500000000000001</v>
      </c>
      <c r="H271" s="222">
        <f t="shared" si="343"/>
        <v>5.088000000000001</v>
      </c>
      <c r="I271" s="222">
        <f t="shared" si="344"/>
        <v>3.18</v>
      </c>
      <c r="J271" s="556">
        <f t="shared" si="310"/>
        <v>42</v>
      </c>
      <c r="K271" s="452">
        <f t="shared" si="311"/>
        <v>12.25</v>
      </c>
      <c r="L271" s="452">
        <f t="shared" si="312"/>
        <v>54.25</v>
      </c>
      <c r="M271" s="452"/>
      <c r="N271" s="222">
        <f t="shared" si="313"/>
        <v>0.22580645161290322</v>
      </c>
      <c r="O271" s="177">
        <f t="shared" si="345"/>
        <v>11.36605459057072</v>
      </c>
      <c r="P271" s="177">
        <f t="shared" si="346"/>
        <v>11.543649193548385</v>
      </c>
      <c r="Q271" s="222">
        <f t="shared" si="316"/>
        <v>0.94717121588089326</v>
      </c>
      <c r="R271" s="222">
        <f t="shared" si="347"/>
        <v>0.94717121588089326</v>
      </c>
      <c r="S271" s="222">
        <f t="shared" si="348"/>
        <v>12</v>
      </c>
      <c r="T271" s="222">
        <f t="shared" si="349"/>
        <v>1.8353598281417831</v>
      </c>
      <c r="U271" s="222">
        <f t="shared" si="320"/>
        <v>0.30589330469029719</v>
      </c>
      <c r="V271" s="222">
        <f t="shared" si="321"/>
        <v>1.0487770446524474</v>
      </c>
      <c r="W271" s="202">
        <f t="shared" si="322"/>
        <v>350</v>
      </c>
      <c r="X271" s="452">
        <f t="shared" si="323"/>
        <v>350</v>
      </c>
      <c r="Z271" s="222">
        <f t="shared" si="324"/>
        <v>3.8709677419354835</v>
      </c>
      <c r="AA271" s="178">
        <f t="shared" si="325"/>
        <v>2.2119815668202762</v>
      </c>
      <c r="AB271" s="178">
        <f t="shared" si="350"/>
        <v>0.92211638517569838</v>
      </c>
      <c r="AC271" s="178"/>
      <c r="AD271" s="178">
        <f t="shared" si="327"/>
        <v>0.46857142857142853</v>
      </c>
      <c r="AE271" s="560">
        <f t="shared" si="351"/>
        <v>2207.0196311719224</v>
      </c>
      <c r="AF271" s="543">
        <f t="shared" si="352"/>
        <v>6.723999999999998E-2</v>
      </c>
      <c r="AH271" s="178">
        <f t="shared" si="353"/>
        <v>2.5979583820958414</v>
      </c>
      <c r="AI271" s="178">
        <f t="shared" si="354"/>
        <v>2.5979583820958414</v>
      </c>
      <c r="AJ271" s="178">
        <f t="shared" si="355"/>
        <v>2.5170062089598826</v>
      </c>
      <c r="AL271" s="560">
        <f t="shared" si="356"/>
        <v>424.00000000000006</v>
      </c>
      <c r="AM271" s="470">
        <f t="shared" si="357"/>
        <v>350</v>
      </c>
      <c r="AO271">
        <f t="shared" si="335"/>
        <v>424.00000000000006</v>
      </c>
      <c r="AP271">
        <f t="shared" si="336"/>
        <v>350</v>
      </c>
      <c r="AR271" s="6">
        <f t="shared" si="360"/>
        <v>2.8571428571428572</v>
      </c>
      <c r="AS271" s="6">
        <f t="shared" si="339"/>
        <v>0.43299306368264023</v>
      </c>
      <c r="AT271" s="6">
        <f t="shared" si="340"/>
        <v>2.424149793460217</v>
      </c>
      <c r="AU271" s="178">
        <f t="shared" si="341"/>
        <v>0.15154757228892407</v>
      </c>
      <c r="AW271" s="6">
        <f>L*Iout^2/(2*Vripple1_spec*Vout*Npri_sec1^2)*1000000000*((1+N271)/(1-N271))^2</f>
        <v>3.8996913580246928</v>
      </c>
      <c r="AX271" s="6">
        <f>L*F271^2/(2*Cout*Vout*Nps^2)*1000000000*((1+N271)/(1-N271))^2+F271*RCoutEsr</f>
        <v>4.0688254531126891</v>
      </c>
      <c r="AY271" s="6">
        <f>L*Iout2^2/(2*Vout_ripple2*Vout2*Npri_sec2^2)*1000000000*((1+N271)/(1-N271))^2</f>
        <v>1.5233169367283956</v>
      </c>
      <c r="AZ271" s="6">
        <f>L*G271^2/(2*Cout2*Vout2*Npri_sec2^2)*1000000000*((1+N271)/(1-N271))^2+G271*CoutEsr2</f>
        <v>1.8875099426221436</v>
      </c>
      <c r="BA271" s="6">
        <f>(H271+I271)/Efficiency/J271*AT271/Vinripple1</f>
        <v>0.74418900927611908</v>
      </c>
      <c r="BB271" s="6"/>
      <c r="CE271" s="577">
        <f t="shared" si="358"/>
        <v>-50</v>
      </c>
    </row>
    <row r="272" spans="5:83" x14ac:dyDescent="0.2">
      <c r="E272" s="175">
        <v>54</v>
      </c>
      <c r="F272" s="222">
        <f t="shared" si="359"/>
        <v>0.43200000000000005</v>
      </c>
      <c r="G272" s="222">
        <f t="shared" si="342"/>
        <v>0.27</v>
      </c>
      <c r="H272" s="222">
        <f t="shared" si="343"/>
        <v>5.1840000000000011</v>
      </c>
      <c r="I272" s="222">
        <f t="shared" si="344"/>
        <v>3.24</v>
      </c>
      <c r="J272" s="556">
        <f t="shared" si="310"/>
        <v>42</v>
      </c>
      <c r="K272" s="452">
        <f t="shared" si="311"/>
        <v>12.25</v>
      </c>
      <c r="L272" s="452">
        <f t="shared" si="312"/>
        <v>54.25</v>
      </c>
      <c r="M272" s="452"/>
      <c r="N272" s="222">
        <f t="shared" si="313"/>
        <v>0.22580645161290322</v>
      </c>
      <c r="O272" s="177">
        <f t="shared" si="345"/>
        <v>11.36605459057072</v>
      </c>
      <c r="P272" s="177">
        <f t="shared" si="346"/>
        <v>11.543649193548385</v>
      </c>
      <c r="Q272" s="222">
        <f t="shared" si="316"/>
        <v>0.94717121588089326</v>
      </c>
      <c r="R272" s="222">
        <f t="shared" si="347"/>
        <v>0.94717121588089326</v>
      </c>
      <c r="S272" s="222">
        <f t="shared" si="348"/>
        <v>12</v>
      </c>
      <c r="T272" s="222">
        <f t="shared" si="349"/>
        <v>1.8699892588614395</v>
      </c>
      <c r="U272" s="222">
        <f t="shared" si="320"/>
        <v>0.3116648764769066</v>
      </c>
      <c r="V272" s="222">
        <f t="shared" si="321"/>
        <v>1.0685652907779652</v>
      </c>
      <c r="W272" s="202">
        <f t="shared" si="322"/>
        <v>350</v>
      </c>
      <c r="X272" s="452">
        <f t="shared" si="323"/>
        <v>350</v>
      </c>
      <c r="Z272" s="222">
        <f t="shared" si="324"/>
        <v>3.8709677419354835</v>
      </c>
      <c r="AA272" s="178">
        <f t="shared" si="325"/>
        <v>2.2119815668202762</v>
      </c>
      <c r="AB272" s="178">
        <f t="shared" si="350"/>
        <v>0.92211638517569838</v>
      </c>
      <c r="AC272" s="178"/>
      <c r="AD272" s="178">
        <f t="shared" si="327"/>
        <v>0.46857142857142853</v>
      </c>
      <c r="AE272" s="560">
        <f t="shared" si="351"/>
        <v>2248.6615110053544</v>
      </c>
      <c r="AF272" s="543">
        <f t="shared" si="352"/>
        <v>6.723999999999998E-2</v>
      </c>
      <c r="AH272" s="178">
        <f t="shared" si="353"/>
        <v>2.6223528927048609</v>
      </c>
      <c r="AI272" s="178">
        <f t="shared" si="354"/>
        <v>2.6223528927048609</v>
      </c>
      <c r="AJ272" s="178">
        <f t="shared" si="355"/>
        <v>2.5350762168184158</v>
      </c>
      <c r="AL272" s="560">
        <f t="shared" si="356"/>
        <v>432.00000000000006</v>
      </c>
      <c r="AM272" s="470">
        <f t="shared" si="357"/>
        <v>350</v>
      </c>
      <c r="AO272">
        <f t="shared" si="335"/>
        <v>432.00000000000006</v>
      </c>
      <c r="AP272">
        <f t="shared" si="336"/>
        <v>350</v>
      </c>
      <c r="AR272" s="6">
        <f t="shared" si="360"/>
        <v>2.8571428571428572</v>
      </c>
      <c r="AS272" s="6">
        <f t="shared" si="339"/>
        <v>0.4370588154508101</v>
      </c>
      <c r="AT272" s="6">
        <f t="shared" si="340"/>
        <v>2.4200840416920473</v>
      </c>
      <c r="AU272" s="178">
        <f t="shared" si="341"/>
        <v>0.15297058540778352</v>
      </c>
      <c r="AW272" s="6">
        <f>L*Iout^2/(2*Vripple1_spec*Vout*Npri_sec1^2)*1000000000*((1+N272)/(1-N272))^2</f>
        <v>3.8996913580246928</v>
      </c>
      <c r="AX272" s="6">
        <f>L*F272^2/(2*Cout*Vout*Nps^2)*1000000000*((1+N272)/(1-N272))^2+F272*RCoutEsr</f>
        <v>4.1993617021276606</v>
      </c>
      <c r="AY272" s="6">
        <f>L*Iout2^2/(2*Vout_ripple2*Vout2*Npri_sec2^2)*1000000000*((1+N272)/(1-N272))^2</f>
        <v>1.5233169367283956</v>
      </c>
      <c r="AZ272" s="6">
        <f>L*G272^2/(2*Cout2*Vout2*Npri_sec2^2)*1000000000*((1+N272)/(1-N272))^2+G272*CoutEsr2</f>
        <v>1.9441256648936174</v>
      </c>
      <c r="BA272" s="6">
        <f>(H272+I272)/Efficiency/J272*AT272/Vinripple1</f>
        <v>0.75695861755179839</v>
      </c>
      <c r="BB272" s="6"/>
      <c r="CE272" s="577">
        <f t="shared" si="358"/>
        <v>-50</v>
      </c>
    </row>
    <row r="273" spans="5:83" x14ac:dyDescent="0.2">
      <c r="E273" s="175">
        <v>55</v>
      </c>
      <c r="F273" s="222">
        <f t="shared" si="359"/>
        <v>0.44000000000000006</v>
      </c>
      <c r="G273" s="222">
        <f t="shared" si="342"/>
        <v>0.27500000000000002</v>
      </c>
      <c r="H273" s="222">
        <f t="shared" si="343"/>
        <v>5.2800000000000011</v>
      </c>
      <c r="I273" s="222">
        <f t="shared" si="344"/>
        <v>3.3000000000000003</v>
      </c>
      <c r="J273" s="556">
        <f t="shared" si="310"/>
        <v>42</v>
      </c>
      <c r="K273" s="452">
        <f t="shared" si="311"/>
        <v>12.25</v>
      </c>
      <c r="L273" s="452">
        <f t="shared" si="312"/>
        <v>54.25</v>
      </c>
      <c r="M273" s="452"/>
      <c r="N273" s="222">
        <f t="shared" si="313"/>
        <v>0.22580645161290322</v>
      </c>
      <c r="O273" s="177">
        <f t="shared" si="345"/>
        <v>11.36605459057072</v>
      </c>
      <c r="P273" s="177">
        <f t="shared" si="346"/>
        <v>11.543649193548385</v>
      </c>
      <c r="Q273" s="222">
        <f t="shared" si="316"/>
        <v>0.94717121588089326</v>
      </c>
      <c r="R273" s="222">
        <f t="shared" si="347"/>
        <v>0.94717121588089326</v>
      </c>
      <c r="S273" s="222">
        <f t="shared" si="348"/>
        <v>12</v>
      </c>
      <c r="T273" s="222">
        <f t="shared" si="349"/>
        <v>1.9046186895810959</v>
      </c>
      <c r="U273" s="222">
        <f t="shared" si="320"/>
        <v>0.31743644826351597</v>
      </c>
      <c r="V273" s="222">
        <f t="shared" si="321"/>
        <v>1.0883535369034834</v>
      </c>
      <c r="W273" s="202">
        <f t="shared" si="322"/>
        <v>350</v>
      </c>
      <c r="X273" s="452">
        <f t="shared" si="323"/>
        <v>350</v>
      </c>
      <c r="Z273" s="222">
        <f t="shared" si="324"/>
        <v>3.8709677419354835</v>
      </c>
      <c r="AA273" s="178">
        <f t="shared" si="325"/>
        <v>2.2119815668202762</v>
      </c>
      <c r="AB273" s="178">
        <f t="shared" si="350"/>
        <v>0.92211638517569838</v>
      </c>
      <c r="AC273" s="178"/>
      <c r="AD273" s="178">
        <f t="shared" si="327"/>
        <v>0.46857142857142853</v>
      </c>
      <c r="AE273" s="560">
        <f t="shared" si="351"/>
        <v>2290.303390838787</v>
      </c>
      <c r="AF273" s="543">
        <f t="shared" si="352"/>
        <v>6.723999999999998E-2</v>
      </c>
      <c r="AH273" s="178">
        <f t="shared" si="353"/>
        <v>2.6465225547221514</v>
      </c>
      <c r="AI273" s="178">
        <f t="shared" si="354"/>
        <v>2.6465225547221514</v>
      </c>
      <c r="AJ273" s="178">
        <f t="shared" si="355"/>
        <v>2.5529796701645564</v>
      </c>
      <c r="AL273" s="560">
        <f t="shared" si="356"/>
        <v>440.00000000000006</v>
      </c>
      <c r="AM273" s="470">
        <f t="shared" si="357"/>
        <v>350</v>
      </c>
      <c r="AO273">
        <f t="shared" si="335"/>
        <v>440.00000000000006</v>
      </c>
      <c r="AP273">
        <f t="shared" si="336"/>
        <v>350</v>
      </c>
      <c r="AR273" s="6">
        <f t="shared" si="360"/>
        <v>2.8571428571428572</v>
      </c>
      <c r="AS273" s="6">
        <f t="shared" si="339"/>
        <v>0.44108709245369188</v>
      </c>
      <c r="AT273" s="6">
        <f t="shared" si="340"/>
        <v>2.4160557646891654</v>
      </c>
      <c r="AU273" s="178">
        <f t="shared" si="341"/>
        <v>0.15438048235879215</v>
      </c>
      <c r="AW273" s="6">
        <f>L*Iout^2/(2*Vripple1_spec*Vout*Npri_sec1^2)*1000000000*((1+N273)/(1-N273))^2</f>
        <v>3.8996913580246928</v>
      </c>
      <c r="AX273" s="6">
        <f>L*F273^2/(2*Cout*Vout*Nps^2)*1000000000*((1+N273)/(1-N273))^2+F273*RCoutEsr</f>
        <v>4.3318892828999234</v>
      </c>
      <c r="AY273" s="6">
        <f>L*Iout2^2/(2*Vout_ripple2*Vout2*Npri_sec2^2)*1000000000*((1+N273)/(1-N273))^2</f>
        <v>1.5233169367283956</v>
      </c>
      <c r="AZ273" s="6">
        <f>L*G273^2/(2*Cout2*Vout2*Npri_sec2^2)*1000000000*((1+N273)/(1-N273))^2+G273*CoutEsr2</f>
        <v>2.0015192511327822</v>
      </c>
      <c r="BA273" s="6">
        <f>(H273+I273)/Efficiency/J273*AT273/Vinripple1</f>
        <v>0.76969306455149156</v>
      </c>
      <c r="BB273" s="6"/>
      <c r="CE273" s="577">
        <f t="shared" si="358"/>
        <v>-50</v>
      </c>
    </row>
    <row r="274" spans="5:83" x14ac:dyDescent="0.2">
      <c r="E274" s="175">
        <v>56</v>
      </c>
      <c r="F274" s="222">
        <f t="shared" si="359"/>
        <v>0.44800000000000006</v>
      </c>
      <c r="G274" s="222">
        <f t="shared" si="342"/>
        <v>0.28000000000000003</v>
      </c>
      <c r="H274" s="222">
        <f t="shared" si="343"/>
        <v>5.3760000000000012</v>
      </c>
      <c r="I274" s="222">
        <f t="shared" si="344"/>
        <v>3.3600000000000003</v>
      </c>
      <c r="J274" s="556">
        <f t="shared" si="310"/>
        <v>42</v>
      </c>
      <c r="K274" s="452">
        <f t="shared" si="311"/>
        <v>12.25</v>
      </c>
      <c r="L274" s="452">
        <f t="shared" si="312"/>
        <v>54.25</v>
      </c>
      <c r="M274" s="452"/>
      <c r="N274" s="222">
        <f t="shared" si="313"/>
        <v>0.22580645161290322</v>
      </c>
      <c r="O274" s="177">
        <f t="shared" si="345"/>
        <v>11.36605459057072</v>
      </c>
      <c r="P274" s="177">
        <f t="shared" si="346"/>
        <v>11.543649193548385</v>
      </c>
      <c r="Q274" s="222">
        <f t="shared" si="316"/>
        <v>0.94717121588089326</v>
      </c>
      <c r="R274" s="222">
        <f t="shared" si="347"/>
        <v>0.94717121588089326</v>
      </c>
      <c r="S274" s="222">
        <f t="shared" si="348"/>
        <v>12</v>
      </c>
      <c r="T274" s="222">
        <f t="shared" si="349"/>
        <v>1.9392481203007521</v>
      </c>
      <c r="U274" s="222">
        <f t="shared" si="320"/>
        <v>0.32320802005012533</v>
      </c>
      <c r="V274" s="222">
        <f t="shared" si="321"/>
        <v>1.1081417830290012</v>
      </c>
      <c r="W274" s="202">
        <f t="shared" si="322"/>
        <v>350</v>
      </c>
      <c r="X274" s="452">
        <f t="shared" si="323"/>
        <v>350</v>
      </c>
      <c r="Z274" s="222">
        <f t="shared" si="324"/>
        <v>3.8709677419354835</v>
      </c>
      <c r="AA274" s="178">
        <f t="shared" si="325"/>
        <v>2.2119815668202762</v>
      </c>
      <c r="AB274" s="178">
        <f t="shared" si="350"/>
        <v>0.92211638517569838</v>
      </c>
      <c r="AC274" s="178"/>
      <c r="AD274" s="178">
        <f t="shared" si="327"/>
        <v>0.46857142857142853</v>
      </c>
      <c r="AE274" s="560">
        <f t="shared" si="351"/>
        <v>2331.94527067222</v>
      </c>
      <c r="AF274" s="543">
        <f t="shared" si="352"/>
        <v>6.723999999999998E-2</v>
      </c>
      <c r="AH274" s="178">
        <f t="shared" si="353"/>
        <v>2.6704734732680966</v>
      </c>
      <c r="AI274" s="178">
        <f t="shared" si="354"/>
        <v>2.6704734732680966</v>
      </c>
      <c r="AJ274" s="178">
        <f t="shared" si="355"/>
        <v>2.5707210913097009</v>
      </c>
      <c r="AL274" s="560">
        <f t="shared" si="356"/>
        <v>448.00000000000006</v>
      </c>
      <c r="AM274" s="470">
        <f t="shared" si="357"/>
        <v>350</v>
      </c>
      <c r="AO274">
        <f t="shared" si="335"/>
        <v>448.00000000000006</v>
      </c>
      <c r="AP274">
        <f t="shared" si="336"/>
        <v>350</v>
      </c>
      <c r="AR274" s="6">
        <f t="shared" si="360"/>
        <v>2.8571428571428572</v>
      </c>
      <c r="AS274" s="6">
        <f t="shared" si="339"/>
        <v>0.44507891221134943</v>
      </c>
      <c r="AT274" s="6">
        <f t="shared" si="340"/>
        <v>2.412063944931508</v>
      </c>
      <c r="AU274" s="178">
        <f t="shared" si="341"/>
        <v>0.1557776192739723</v>
      </c>
      <c r="AW274" s="6">
        <f>L*Iout^2/(2*Vripple1_spec*Vout*Npri_sec1^2)*1000000000*((1+N274)/(1-N274))^2</f>
        <v>3.8996913580246928</v>
      </c>
      <c r="AX274" s="6">
        <f>L*F274^2/(2*Cout*Vout*Nps^2)*1000000000*((1+N274)/(1-N274))^2+F274*RCoutEsr</f>
        <v>4.4664081954294739</v>
      </c>
      <c r="AY274" s="6">
        <f>L*Iout2^2/(2*Vout_ripple2*Vout2*Npri_sec2^2)*1000000000*((1+N274)/(1-N274))^2</f>
        <v>1.5233169367283956</v>
      </c>
      <c r="AZ274" s="6">
        <f>L*G274^2/(2*Cout2*Vout2*Npri_sec2^2)*1000000000*((1+N274)/(1-N274))^2+G274*CoutEsr2</f>
        <v>2.0596907013396377</v>
      </c>
      <c r="BA274" s="6">
        <f>(H274+I274)/Efficiency/J274*AT274/Vinripple1</f>
        <v>0.78239267141638003</v>
      </c>
      <c r="BB274" s="6"/>
      <c r="CE274" s="577">
        <f t="shared" si="358"/>
        <v>-50</v>
      </c>
    </row>
    <row r="275" spans="5:83" x14ac:dyDescent="0.2">
      <c r="E275" s="175">
        <v>57</v>
      </c>
      <c r="F275" s="222">
        <f t="shared" si="359"/>
        <v>0.45599999999999996</v>
      </c>
      <c r="G275" s="222">
        <f t="shared" si="342"/>
        <v>0.28499999999999998</v>
      </c>
      <c r="H275" s="222">
        <f t="shared" si="343"/>
        <v>5.4719999999999995</v>
      </c>
      <c r="I275" s="222">
        <f t="shared" si="344"/>
        <v>3.42</v>
      </c>
      <c r="J275" s="556">
        <f t="shared" si="310"/>
        <v>42</v>
      </c>
      <c r="K275" s="452">
        <f t="shared" si="311"/>
        <v>12.25</v>
      </c>
      <c r="L275" s="452">
        <f t="shared" si="312"/>
        <v>54.25</v>
      </c>
      <c r="M275" s="452"/>
      <c r="N275" s="222">
        <f t="shared" si="313"/>
        <v>0.22580645161290322</v>
      </c>
      <c r="O275" s="177">
        <f t="shared" si="345"/>
        <v>11.36605459057072</v>
      </c>
      <c r="P275" s="177">
        <f t="shared" si="346"/>
        <v>11.543649193548385</v>
      </c>
      <c r="Q275" s="222">
        <f t="shared" si="316"/>
        <v>0.94717121588089326</v>
      </c>
      <c r="R275" s="222">
        <f t="shared" si="347"/>
        <v>0.94717121588089326</v>
      </c>
      <c r="S275" s="222">
        <f t="shared" si="348"/>
        <v>12</v>
      </c>
      <c r="T275" s="222">
        <f t="shared" si="349"/>
        <v>1.9738775510204081</v>
      </c>
      <c r="U275" s="222">
        <f t="shared" si="320"/>
        <v>0.3289795918367347</v>
      </c>
      <c r="V275" s="222">
        <f t="shared" si="321"/>
        <v>1.1279300291545189</v>
      </c>
      <c r="W275" s="202">
        <f t="shared" si="322"/>
        <v>350</v>
      </c>
      <c r="X275" s="452">
        <f t="shared" si="323"/>
        <v>350</v>
      </c>
      <c r="Z275" s="222">
        <f t="shared" si="324"/>
        <v>3.8709677419354835</v>
      </c>
      <c r="AA275" s="178">
        <f t="shared" si="325"/>
        <v>2.2119815668202762</v>
      </c>
      <c r="AB275" s="178">
        <f t="shared" si="350"/>
        <v>0.92211638517569838</v>
      </c>
      <c r="AC275" s="178"/>
      <c r="AD275" s="178">
        <f t="shared" si="327"/>
        <v>0.46857142857142853</v>
      </c>
      <c r="AE275" s="560">
        <f t="shared" si="351"/>
        <v>2373.5871505056516</v>
      </c>
      <c r="AF275" s="543">
        <f t="shared" si="352"/>
        <v>6.723999999999998E-2</v>
      </c>
      <c r="AH275" s="178">
        <f t="shared" si="353"/>
        <v>2.6942114820860072</v>
      </c>
      <c r="AI275" s="178">
        <f t="shared" si="354"/>
        <v>2.6942114820860072</v>
      </c>
      <c r="AJ275" s="178">
        <f t="shared" si="355"/>
        <v>2.5883048015451906</v>
      </c>
      <c r="AL275" s="560">
        <f t="shared" si="356"/>
        <v>455.99999999999994</v>
      </c>
      <c r="AM275" s="470">
        <f t="shared" si="357"/>
        <v>350</v>
      </c>
      <c r="AO275">
        <f t="shared" si="335"/>
        <v>455.99999999999994</v>
      </c>
      <c r="AP275">
        <f t="shared" si="336"/>
        <v>350</v>
      </c>
      <c r="AR275" s="6">
        <f t="shared" si="360"/>
        <v>2.8571428571428572</v>
      </c>
      <c r="AS275" s="6">
        <f t="shared" si="339"/>
        <v>0.4490352470143345</v>
      </c>
      <c r="AT275" s="6">
        <f t="shared" si="340"/>
        <v>2.4081076101285226</v>
      </c>
      <c r="AU275" s="178">
        <f t="shared" si="341"/>
        <v>0.15716233645501707</v>
      </c>
      <c r="AW275" s="6">
        <f>L*Iout^2/(2*Vripple1_spec*Vout*Npri_sec1^2)*1000000000*((1+N275)/(1-N275))^2</f>
        <v>3.8996913580246928</v>
      </c>
      <c r="AX275" s="6">
        <f>L*F275^2/(2*Cout*Vout*Nps^2)*1000000000*((1+N275)/(1-N275))^2+F275*RCoutEsr</f>
        <v>4.6029184397163121</v>
      </c>
      <c r="AY275" s="6">
        <f>L*Iout2^2/(2*Vout_ripple2*Vout2*Npri_sec2^2)*1000000000*((1+N275)/(1-N275))^2</f>
        <v>1.5233169367283956</v>
      </c>
      <c r="AZ275" s="6">
        <f>L*G275^2/(2*Cout2*Vout2*Npri_sec2^2)*1000000000*((1+N275)/(1-N275))^2+G275*CoutEsr2</f>
        <v>2.1186400155141847</v>
      </c>
      <c r="BA275" s="6">
        <f>(H275+I275)/Efficiency/J275*AT275/Vinripple1</f>
        <v>0.79505775064560735</v>
      </c>
      <c r="BB275" s="6"/>
      <c r="CE275" s="577">
        <f t="shared" si="358"/>
        <v>-50</v>
      </c>
    </row>
    <row r="276" spans="5:83" x14ac:dyDescent="0.2">
      <c r="E276" s="175">
        <v>58</v>
      </c>
      <c r="F276" s="222">
        <f t="shared" si="359"/>
        <v>0.46399999999999997</v>
      </c>
      <c r="G276" s="222">
        <f t="shared" si="342"/>
        <v>0.28999999999999998</v>
      </c>
      <c r="H276" s="222">
        <f t="shared" si="343"/>
        <v>5.5679999999999996</v>
      </c>
      <c r="I276" s="222">
        <f t="shared" si="344"/>
        <v>3.4799999999999995</v>
      </c>
      <c r="J276" s="556">
        <f t="shared" si="310"/>
        <v>42</v>
      </c>
      <c r="K276" s="452">
        <f t="shared" si="311"/>
        <v>12.25</v>
      </c>
      <c r="L276" s="452">
        <f t="shared" si="312"/>
        <v>54.25</v>
      </c>
      <c r="M276" s="452"/>
      <c r="N276" s="222">
        <f t="shared" si="313"/>
        <v>0.22580645161290322</v>
      </c>
      <c r="O276" s="177">
        <f t="shared" si="345"/>
        <v>11.36605459057072</v>
      </c>
      <c r="P276" s="177">
        <f t="shared" si="346"/>
        <v>11.543649193548385</v>
      </c>
      <c r="Q276" s="222">
        <f t="shared" si="316"/>
        <v>0.94717121588089326</v>
      </c>
      <c r="R276" s="222">
        <f t="shared" si="347"/>
        <v>0.94717121588089326</v>
      </c>
      <c r="S276" s="222">
        <f t="shared" si="348"/>
        <v>12</v>
      </c>
      <c r="T276" s="222">
        <f t="shared" si="349"/>
        <v>2.008506981740064</v>
      </c>
      <c r="U276" s="222">
        <f t="shared" si="320"/>
        <v>0.33475116362334401</v>
      </c>
      <c r="V276" s="222">
        <f t="shared" si="321"/>
        <v>1.1477182752800366</v>
      </c>
      <c r="W276" s="202">
        <f t="shared" si="322"/>
        <v>350</v>
      </c>
      <c r="X276" s="452">
        <f t="shared" si="323"/>
        <v>350</v>
      </c>
      <c r="Z276" s="222">
        <f t="shared" si="324"/>
        <v>3.8709677419354835</v>
      </c>
      <c r="AA276" s="178">
        <f t="shared" si="325"/>
        <v>2.2119815668202762</v>
      </c>
      <c r="AB276" s="178">
        <f t="shared" si="350"/>
        <v>0.92211638517569838</v>
      </c>
      <c r="AC276" s="178"/>
      <c r="AD276" s="178">
        <f t="shared" si="327"/>
        <v>0.46857142857142853</v>
      </c>
      <c r="AE276" s="560">
        <f t="shared" si="351"/>
        <v>2415.2290303390841</v>
      </c>
      <c r="AF276" s="543">
        <f t="shared" si="352"/>
        <v>6.723999999999998E-2</v>
      </c>
      <c r="AH276" s="178">
        <f t="shared" si="353"/>
        <v>2.7177421601357974</v>
      </c>
      <c r="AI276" s="178">
        <f t="shared" si="354"/>
        <v>2.7177421601357974</v>
      </c>
      <c r="AJ276" s="178">
        <f t="shared" si="355"/>
        <v>2.6057349334339239</v>
      </c>
      <c r="AL276" s="560">
        <f t="shared" si="356"/>
        <v>463.99999999999994</v>
      </c>
      <c r="AM276" s="470">
        <f t="shared" si="357"/>
        <v>350</v>
      </c>
      <c r="AO276">
        <f t="shared" si="335"/>
        <v>463.99999999999994</v>
      </c>
      <c r="AP276">
        <f t="shared" si="336"/>
        <v>350</v>
      </c>
      <c r="AR276" s="6">
        <f t="shared" si="360"/>
        <v>2.8571428571428572</v>
      </c>
      <c r="AS276" s="6">
        <f t="shared" si="339"/>
        <v>0.45295702668929955</v>
      </c>
      <c r="AT276" s="6">
        <f t="shared" si="340"/>
        <v>2.4041858304535575</v>
      </c>
      <c r="AU276" s="178">
        <f t="shared" si="341"/>
        <v>0.15853495934125483</v>
      </c>
      <c r="AW276" s="6">
        <f>L*Iout^2/(2*Vripple1_spec*Vout*Npri_sec1^2)*1000000000*((1+N276)/(1-N276))^2</f>
        <v>3.8996913580246928</v>
      </c>
      <c r="AX276" s="6">
        <f>L*F276^2/(2*Cout*Vout*Nps^2)*1000000000*((1+N276)/(1-N276))^2+F276*RCoutEsr</f>
        <v>4.7414200157604416</v>
      </c>
      <c r="AY276" s="6">
        <f>L*Iout2^2/(2*Vout_ripple2*Vout2*Npri_sec2^2)*1000000000*((1+N276)/(1-N276))^2</f>
        <v>1.5233169367283956</v>
      </c>
      <c r="AZ276" s="6">
        <f>L*G276^2/(2*Cout2*Vout2*Npri_sec2^2)*1000000000*((1+N276)/(1-N276))^2+G276*CoutEsr2</f>
        <v>2.1783671936564231</v>
      </c>
      <c r="BA276" s="6">
        <f>(H276+I276)/Efficiency/J276*AT276/Vinripple1</f>
        <v>0.80768860647707352</v>
      </c>
      <c r="BB276" s="6"/>
      <c r="CE276" s="577">
        <f t="shared" si="358"/>
        <v>-50</v>
      </c>
    </row>
    <row r="277" spans="5:83" x14ac:dyDescent="0.2">
      <c r="E277" s="175">
        <v>59</v>
      </c>
      <c r="F277" s="222">
        <f t="shared" si="359"/>
        <v>0.47199999999999998</v>
      </c>
      <c r="G277" s="222">
        <f t="shared" si="342"/>
        <v>0.29499999999999998</v>
      </c>
      <c r="H277" s="222">
        <f t="shared" si="343"/>
        <v>5.6639999999999997</v>
      </c>
      <c r="I277" s="222">
        <f t="shared" si="344"/>
        <v>3.54</v>
      </c>
      <c r="J277" s="556">
        <f t="shared" si="310"/>
        <v>42</v>
      </c>
      <c r="K277" s="452">
        <f t="shared" si="311"/>
        <v>12.25</v>
      </c>
      <c r="L277" s="452">
        <f t="shared" si="312"/>
        <v>54.25</v>
      </c>
      <c r="M277" s="452"/>
      <c r="N277" s="222">
        <f t="shared" si="313"/>
        <v>0.22580645161290322</v>
      </c>
      <c r="O277" s="177">
        <f t="shared" si="345"/>
        <v>11.36605459057072</v>
      </c>
      <c r="P277" s="177">
        <f t="shared" si="346"/>
        <v>11.543649193548385</v>
      </c>
      <c r="Q277" s="222">
        <f t="shared" si="316"/>
        <v>0.94717121588089326</v>
      </c>
      <c r="R277" s="222">
        <f t="shared" si="347"/>
        <v>0.94717121588089326</v>
      </c>
      <c r="S277" s="222">
        <f t="shared" si="348"/>
        <v>12</v>
      </c>
      <c r="T277" s="222">
        <f t="shared" si="349"/>
        <v>2.0431364124597207</v>
      </c>
      <c r="U277" s="222">
        <f t="shared" si="320"/>
        <v>0.34052273540995343</v>
      </c>
      <c r="V277" s="222">
        <f t="shared" si="321"/>
        <v>1.1675065214055547</v>
      </c>
      <c r="W277" s="202">
        <f t="shared" si="322"/>
        <v>350</v>
      </c>
      <c r="X277" s="452">
        <f t="shared" si="323"/>
        <v>350</v>
      </c>
      <c r="Z277" s="222">
        <f t="shared" si="324"/>
        <v>3.8709677419354835</v>
      </c>
      <c r="AA277" s="178">
        <f t="shared" si="325"/>
        <v>2.2119815668202762</v>
      </c>
      <c r="AB277" s="178">
        <f t="shared" si="350"/>
        <v>0.92211638517569838</v>
      </c>
      <c r="AC277" s="178"/>
      <c r="AD277" s="178">
        <f t="shared" si="327"/>
        <v>0.46857142857142853</v>
      </c>
      <c r="AE277" s="560">
        <f t="shared" si="351"/>
        <v>2456.8709101725171</v>
      </c>
      <c r="AF277" s="543">
        <f t="shared" si="352"/>
        <v>6.723999999999998E-2</v>
      </c>
      <c r="AH277" s="178">
        <f t="shared" si="353"/>
        <v>2.7410708469054756</v>
      </c>
      <c r="AI277" s="178">
        <f t="shared" si="354"/>
        <v>2.7410708469054756</v>
      </c>
      <c r="AJ277" s="178">
        <f t="shared" si="355"/>
        <v>2.6230154421522043</v>
      </c>
      <c r="AL277" s="560">
        <f t="shared" si="356"/>
        <v>472</v>
      </c>
      <c r="AM277" s="470">
        <f t="shared" si="357"/>
        <v>350</v>
      </c>
      <c r="AO277">
        <f t="shared" si="335"/>
        <v>472</v>
      </c>
      <c r="AP277">
        <f t="shared" si="336"/>
        <v>350</v>
      </c>
      <c r="AR277" s="6">
        <f t="shared" si="360"/>
        <v>2.8571428571428572</v>
      </c>
      <c r="AS277" s="6">
        <f t="shared" si="339"/>
        <v>0.45684514115091263</v>
      </c>
      <c r="AT277" s="6">
        <f t="shared" si="340"/>
        <v>2.4002977159919445</v>
      </c>
      <c r="AU277" s="178">
        <f t="shared" si="341"/>
        <v>0.15989579940281942</v>
      </c>
      <c r="AW277" s="6">
        <f>L*Iout^2/(2*Vripple1_spec*Vout*Npri_sec1^2)*1000000000*((1+N277)/(1-N277))^2</f>
        <v>3.8996913580246928</v>
      </c>
      <c r="AX277" s="6">
        <f>L*F277^2/(2*Cout*Vout*Nps^2)*1000000000*((1+N277)/(1-N277))^2+F277*RCoutEsr</f>
        <v>4.8819129235618597</v>
      </c>
      <c r="AY277" s="6">
        <f>L*Iout2^2/(2*Vout_ripple2*Vout2*Npri_sec2^2)*1000000000*((1+N277)/(1-N277))^2</f>
        <v>1.5233169367283956</v>
      </c>
      <c r="AZ277" s="6">
        <f>L*G277^2/(2*Cout2*Vout2*Npri_sec2^2)*1000000000*((1+N277)/(1-N277))^2+G277*CoutEsr2</f>
        <v>2.238872235766352</v>
      </c>
      <c r="BA277" s="6">
        <f>(H277+I277)/Efficiency/J277*AT277/Vinripple1</f>
        <v>0.82028553524514458</v>
      </c>
      <c r="BB277" s="6"/>
      <c r="CE277" s="577">
        <f t="shared" si="358"/>
        <v>-50</v>
      </c>
    </row>
    <row r="278" spans="5:83" x14ac:dyDescent="0.2">
      <c r="E278" s="175">
        <v>60</v>
      </c>
      <c r="F278" s="222">
        <f t="shared" si="359"/>
        <v>0.48</v>
      </c>
      <c r="G278" s="222">
        <f t="shared" si="342"/>
        <v>0.3</v>
      </c>
      <c r="H278" s="222">
        <f t="shared" si="343"/>
        <v>5.76</v>
      </c>
      <c r="I278" s="222">
        <f t="shared" si="344"/>
        <v>3.5999999999999996</v>
      </c>
      <c r="J278" s="556">
        <f t="shared" si="310"/>
        <v>42</v>
      </c>
      <c r="K278" s="452">
        <f t="shared" si="311"/>
        <v>12.25</v>
      </c>
      <c r="L278" s="452">
        <f t="shared" si="312"/>
        <v>54.25</v>
      </c>
      <c r="M278" s="452"/>
      <c r="N278" s="222">
        <f t="shared" si="313"/>
        <v>0.22580645161290322</v>
      </c>
      <c r="O278" s="177">
        <f t="shared" si="345"/>
        <v>11.36605459057072</v>
      </c>
      <c r="P278" s="177">
        <f t="shared" si="346"/>
        <v>11.543649193548385</v>
      </c>
      <c r="Q278" s="222">
        <f t="shared" si="316"/>
        <v>0.94717121588089326</v>
      </c>
      <c r="R278" s="222">
        <f t="shared" si="347"/>
        <v>0.94717121588089326</v>
      </c>
      <c r="S278" s="222">
        <f t="shared" si="348"/>
        <v>12</v>
      </c>
      <c r="T278" s="222">
        <f t="shared" si="349"/>
        <v>2.0777658431793768</v>
      </c>
      <c r="U278" s="222">
        <f t="shared" si="320"/>
        <v>0.34629430719656279</v>
      </c>
      <c r="V278" s="222">
        <f t="shared" si="321"/>
        <v>1.1872947675310725</v>
      </c>
      <c r="W278" s="202">
        <f t="shared" si="322"/>
        <v>350</v>
      </c>
      <c r="X278" s="452">
        <f t="shared" si="323"/>
        <v>350</v>
      </c>
      <c r="Z278" s="222">
        <f t="shared" si="324"/>
        <v>3.8709677419354835</v>
      </c>
      <c r="AA278" s="178">
        <f t="shared" si="325"/>
        <v>2.2119815668202762</v>
      </c>
      <c r="AB278" s="178">
        <f t="shared" si="350"/>
        <v>0.92211638517569838</v>
      </c>
      <c r="AC278" s="178"/>
      <c r="AD278" s="178">
        <f t="shared" si="327"/>
        <v>0.46857142857142853</v>
      </c>
      <c r="AE278" s="560">
        <f t="shared" si="351"/>
        <v>2498.5127900059492</v>
      </c>
      <c r="AF278" s="543">
        <f t="shared" si="352"/>
        <v>6.723999999999998E-2</v>
      </c>
      <c r="AH278" s="178">
        <f t="shared" si="353"/>
        <v>2.7642026565595028</v>
      </c>
      <c r="AI278" s="178">
        <f t="shared" si="354"/>
        <v>2.7642026565595028</v>
      </c>
      <c r="AJ278" s="178">
        <f t="shared" si="355"/>
        <v>2.6401501159700023</v>
      </c>
      <c r="AL278" s="560">
        <f t="shared" si="356"/>
        <v>480</v>
      </c>
      <c r="AM278" s="470">
        <f t="shared" si="357"/>
        <v>350</v>
      </c>
      <c r="AO278">
        <f t="shared" si="335"/>
        <v>480</v>
      </c>
      <c r="AP278">
        <f t="shared" si="336"/>
        <v>350</v>
      </c>
      <c r="AR278" s="6">
        <f t="shared" si="360"/>
        <v>2.8571428571428572</v>
      </c>
      <c r="AS278" s="6">
        <f t="shared" si="339"/>
        <v>0.46070044275991712</v>
      </c>
      <c r="AT278" s="6">
        <f t="shared" si="340"/>
        <v>2.3964424143829399</v>
      </c>
      <c r="AU278" s="178">
        <f t="shared" si="341"/>
        <v>0.161245154965971</v>
      </c>
      <c r="AW278" s="6">
        <f>L*Iout^2/(2*Vripple1_spec*Vout*Npri_sec1^2)*1000000000*((1+N278)/(1-N278))^2</f>
        <v>3.8996913580246928</v>
      </c>
      <c r="AX278" s="6">
        <f>L*F278^2/(2*Cout*Vout*Nps^2)*1000000000*((1+N278)/(1-N278))^2+F278*RCoutEsr</f>
        <v>5.0243971631205682</v>
      </c>
      <c r="AY278" s="6">
        <f>L*Iout2^2/(2*Vout_ripple2*Vout2*Npri_sec2^2)*1000000000*((1+N278)/(1-N278))^2</f>
        <v>1.5233169367283956</v>
      </c>
      <c r="AZ278" s="6">
        <f>L*G278^2/(2*Cout2*Vout2*Npri_sec2^2)*1000000000*((1+N278)/(1-N278))^2+G278*CoutEsr2</f>
        <v>2.3001551418439719</v>
      </c>
      <c r="BA278" s="6">
        <f>(H278+I278)/Efficiency/J278*AT278/Vinripple1</f>
        <v>0.83284882571704499</v>
      </c>
      <c r="BB278" s="6"/>
      <c r="CE278" s="577">
        <f t="shared" si="358"/>
        <v>-50</v>
      </c>
    </row>
    <row r="279" spans="5:83" x14ac:dyDescent="0.2">
      <c r="E279" s="175">
        <v>61</v>
      </c>
      <c r="F279" s="222">
        <f t="shared" si="359"/>
        <v>0.48799999999999999</v>
      </c>
      <c r="G279" s="222">
        <f t="shared" si="342"/>
        <v>0.30499999999999999</v>
      </c>
      <c r="H279" s="222">
        <f t="shared" si="343"/>
        <v>5.8559999999999999</v>
      </c>
      <c r="I279" s="222">
        <f t="shared" si="344"/>
        <v>3.66</v>
      </c>
      <c r="J279" s="556">
        <f t="shared" si="310"/>
        <v>42</v>
      </c>
      <c r="K279" s="452">
        <f t="shared" si="311"/>
        <v>12.25</v>
      </c>
      <c r="L279" s="452">
        <f t="shared" si="312"/>
        <v>54.25</v>
      </c>
      <c r="M279" s="452"/>
      <c r="N279" s="222">
        <f t="shared" si="313"/>
        <v>0.22580645161290322</v>
      </c>
      <c r="O279" s="177">
        <f t="shared" si="345"/>
        <v>11.36605459057072</v>
      </c>
      <c r="P279" s="177">
        <f t="shared" si="346"/>
        <v>11.543649193548385</v>
      </c>
      <c r="Q279" s="222">
        <f t="shared" si="316"/>
        <v>0.94717121588089326</v>
      </c>
      <c r="R279" s="222">
        <f t="shared" si="347"/>
        <v>0.94717121588089326</v>
      </c>
      <c r="S279" s="222">
        <f t="shared" si="348"/>
        <v>12</v>
      </c>
      <c r="T279" s="222">
        <f t="shared" si="349"/>
        <v>2.1123952738990335</v>
      </c>
      <c r="U279" s="222">
        <f t="shared" si="320"/>
        <v>0.35206587898317226</v>
      </c>
      <c r="V279" s="222">
        <f t="shared" si="321"/>
        <v>1.2070830136565907</v>
      </c>
      <c r="W279" s="202">
        <f t="shared" si="322"/>
        <v>350</v>
      </c>
      <c r="X279" s="452">
        <f t="shared" si="323"/>
        <v>350</v>
      </c>
      <c r="Z279" s="222">
        <f t="shared" si="324"/>
        <v>3.8709677419354835</v>
      </c>
      <c r="AA279" s="178">
        <f t="shared" si="325"/>
        <v>2.2119815668202762</v>
      </c>
      <c r="AB279" s="178">
        <f t="shared" si="350"/>
        <v>0.92211638517569838</v>
      </c>
      <c r="AC279" s="178"/>
      <c r="AD279" s="178">
        <f t="shared" si="327"/>
        <v>0.46857142857142853</v>
      </c>
      <c r="AE279" s="560">
        <f t="shared" si="351"/>
        <v>2540.1546698393818</v>
      </c>
      <c r="AF279" s="543">
        <f t="shared" si="352"/>
        <v>6.723999999999998E-2</v>
      </c>
      <c r="AH279" s="178">
        <f t="shared" si="353"/>
        <v>2.7871424910302167</v>
      </c>
      <c r="AI279" s="178">
        <f t="shared" si="354"/>
        <v>2.7871424910302167</v>
      </c>
      <c r="AJ279" s="178">
        <f t="shared" si="355"/>
        <v>2.6571425859483089</v>
      </c>
      <c r="AL279" s="560">
        <f t="shared" si="356"/>
        <v>488</v>
      </c>
      <c r="AM279" s="470">
        <f t="shared" si="357"/>
        <v>350</v>
      </c>
      <c r="AO279">
        <f t="shared" si="335"/>
        <v>488</v>
      </c>
      <c r="AP279">
        <f t="shared" si="336"/>
        <v>350</v>
      </c>
      <c r="AR279" s="6">
        <f t="shared" si="360"/>
        <v>2.8571428571428572</v>
      </c>
      <c r="AS279" s="6">
        <f t="shared" si="339"/>
        <v>0.46452374850503608</v>
      </c>
      <c r="AT279" s="6">
        <f t="shared" si="340"/>
        <v>2.3926191086378212</v>
      </c>
      <c r="AU279" s="178">
        <f t="shared" si="341"/>
        <v>0.16258331197676262</v>
      </c>
      <c r="AW279" s="6">
        <f>L*Iout^2/(2*Vripple1_spec*Vout*Npri_sec1^2)*1000000000*((1+N279)/(1-N279))^2</f>
        <v>3.8996913580246928</v>
      </c>
      <c r="AX279" s="6">
        <f>L*F279^2/(2*Cout*Vout*Nps^2)*1000000000*((1+N279)/(1-N279))^2+F279*RCoutEsr</f>
        <v>5.1688727344365653</v>
      </c>
      <c r="AY279" s="6">
        <f>L*Iout2^2/(2*Vout_ripple2*Vout2*Npri_sec2^2)*1000000000*((1+N279)/(1-N279))^2</f>
        <v>1.5233169367283956</v>
      </c>
      <c r="AZ279" s="6">
        <f>L*G279^2/(2*Cout2*Vout2*Npri_sec2^2)*1000000000*((1+N279)/(1-N279))^2+G279*CoutEsr2</f>
        <v>2.3622159118892831</v>
      </c>
      <c r="BA279" s="6">
        <f>(H279+I279)/Efficiency/J279*AT279/Vinripple1</f>
        <v>0.84537875940954266</v>
      </c>
      <c r="BB279" s="6"/>
      <c r="CE279" s="577">
        <f t="shared" si="358"/>
        <v>-50</v>
      </c>
    </row>
    <row r="280" spans="5:83" x14ac:dyDescent="0.2">
      <c r="E280" s="175">
        <v>62</v>
      </c>
      <c r="F280" s="222">
        <f t="shared" si="359"/>
        <v>0.496</v>
      </c>
      <c r="G280" s="222">
        <f t="shared" si="342"/>
        <v>0.31</v>
      </c>
      <c r="H280" s="222">
        <f t="shared" si="343"/>
        <v>5.952</v>
      </c>
      <c r="I280" s="222">
        <f t="shared" si="344"/>
        <v>3.7199999999999998</v>
      </c>
      <c r="J280" s="556">
        <f t="shared" si="310"/>
        <v>42</v>
      </c>
      <c r="K280" s="452">
        <f t="shared" si="311"/>
        <v>12.25</v>
      </c>
      <c r="L280" s="452">
        <f t="shared" si="312"/>
        <v>54.25</v>
      </c>
      <c r="M280" s="452"/>
      <c r="N280" s="222">
        <f t="shared" si="313"/>
        <v>0.22580645161290322</v>
      </c>
      <c r="O280" s="177">
        <f t="shared" si="345"/>
        <v>11.36605459057072</v>
      </c>
      <c r="P280" s="177">
        <f t="shared" si="346"/>
        <v>11.543649193548385</v>
      </c>
      <c r="Q280" s="222">
        <f t="shared" si="316"/>
        <v>0.94717121588089326</v>
      </c>
      <c r="R280" s="222">
        <f t="shared" si="347"/>
        <v>0.94717121588089326</v>
      </c>
      <c r="S280" s="222">
        <f t="shared" si="348"/>
        <v>12</v>
      </c>
      <c r="T280" s="222">
        <f t="shared" si="349"/>
        <v>2.1470247046186897</v>
      </c>
      <c r="U280" s="222">
        <f t="shared" si="320"/>
        <v>0.35783745076978157</v>
      </c>
      <c r="V280" s="222">
        <f t="shared" si="321"/>
        <v>1.2268712597821083</v>
      </c>
      <c r="W280" s="202">
        <f t="shared" si="322"/>
        <v>350</v>
      </c>
      <c r="X280" s="452">
        <f t="shared" si="323"/>
        <v>350</v>
      </c>
      <c r="Z280" s="222">
        <f t="shared" si="324"/>
        <v>3.8709677419354835</v>
      </c>
      <c r="AA280" s="178">
        <f t="shared" si="325"/>
        <v>2.2119815668202762</v>
      </c>
      <c r="AB280" s="178">
        <f t="shared" si="350"/>
        <v>0.92211638517569838</v>
      </c>
      <c r="AC280" s="178"/>
      <c r="AD280" s="178">
        <f t="shared" si="327"/>
        <v>0.46857142857142853</v>
      </c>
      <c r="AE280" s="560">
        <f t="shared" si="351"/>
        <v>2581.7965496728143</v>
      </c>
      <c r="AF280" s="543">
        <f t="shared" si="352"/>
        <v>6.723999999999998E-2</v>
      </c>
      <c r="AH280" s="178">
        <f t="shared" si="353"/>
        <v>2.8098950521472563</v>
      </c>
      <c r="AI280" s="178">
        <f t="shared" si="354"/>
        <v>2.8098950521472563</v>
      </c>
      <c r="AJ280" s="178">
        <f t="shared" si="355"/>
        <v>2.6739963349238938</v>
      </c>
      <c r="AL280" s="560">
        <f t="shared" si="356"/>
        <v>496</v>
      </c>
      <c r="AM280" s="470">
        <f t="shared" si="357"/>
        <v>350</v>
      </c>
      <c r="AO280">
        <f t="shared" si="335"/>
        <v>496</v>
      </c>
      <c r="AP280">
        <f t="shared" si="336"/>
        <v>350</v>
      </c>
      <c r="AR280" s="6">
        <f t="shared" si="360"/>
        <v>2.8571428571428572</v>
      </c>
      <c r="AS280" s="6">
        <f t="shared" si="339"/>
        <v>0.46831584202454268</v>
      </c>
      <c r="AT280" s="6">
        <f t="shared" si="340"/>
        <v>2.3888270151183146</v>
      </c>
      <c r="AU280" s="178">
        <f t="shared" si="341"/>
        <v>0.16391054470858993</v>
      </c>
      <c r="AW280" s="6">
        <f>L*Iout^2/(2*Vripple1_spec*Vout*Npri_sec1^2)*1000000000*((1+N280)/(1-N280))^2</f>
        <v>3.8996913580246928</v>
      </c>
      <c r="AX280" s="6">
        <f>L*F280^2/(2*Cout*Vout*Nps^2)*1000000000*((1+N280)/(1-N280))^2+F280*RCoutEsr</f>
        <v>5.3153396375098509</v>
      </c>
      <c r="AY280" s="6">
        <f>L*Iout2^2/(2*Vout_ripple2*Vout2*Npri_sec2^2)*1000000000*((1+N280)/(1-N280))^2</f>
        <v>1.5233169367283956</v>
      </c>
      <c r="AZ280" s="6">
        <f>L*G280^2/(2*Cout2*Vout2*Npri_sec2^2)*1000000000*((1+N280)/(1-N280))^2+G280*CoutEsr2</f>
        <v>2.4250545459022854</v>
      </c>
      <c r="BA280" s="6">
        <f>(H280+I280)/Efficiency/J280*AT280/Vinripple1</f>
        <v>0.85787561088737918</v>
      </c>
      <c r="BB280" s="6"/>
      <c r="CE280" s="577">
        <f t="shared" si="358"/>
        <v>-50</v>
      </c>
    </row>
    <row r="281" spans="5:83" x14ac:dyDescent="0.2">
      <c r="E281" s="175">
        <v>63</v>
      </c>
      <c r="F281" s="222">
        <f t="shared" si="359"/>
        <v>0.504</v>
      </c>
      <c r="G281" s="222">
        <f t="shared" si="342"/>
        <v>0.315</v>
      </c>
      <c r="H281" s="222">
        <f t="shared" si="343"/>
        <v>6.048</v>
      </c>
      <c r="I281" s="222">
        <f t="shared" si="344"/>
        <v>3.7800000000000002</v>
      </c>
      <c r="J281" s="556">
        <f t="shared" si="310"/>
        <v>42</v>
      </c>
      <c r="K281" s="452">
        <f t="shared" si="311"/>
        <v>12.25</v>
      </c>
      <c r="L281" s="452">
        <f t="shared" si="312"/>
        <v>54.25</v>
      </c>
      <c r="M281" s="452"/>
      <c r="N281" s="222">
        <f t="shared" si="313"/>
        <v>0.22580645161290322</v>
      </c>
      <c r="O281" s="177">
        <f t="shared" si="345"/>
        <v>11.36605459057072</v>
      </c>
      <c r="P281" s="177">
        <f t="shared" si="346"/>
        <v>11.543649193548385</v>
      </c>
      <c r="Q281" s="222">
        <f t="shared" si="316"/>
        <v>0.94717121588089326</v>
      </c>
      <c r="R281" s="222">
        <f t="shared" si="347"/>
        <v>0.94717121588089326</v>
      </c>
      <c r="S281" s="222">
        <f t="shared" si="348"/>
        <v>12</v>
      </c>
      <c r="T281" s="222">
        <f t="shared" si="349"/>
        <v>2.1816541353383458</v>
      </c>
      <c r="U281" s="222">
        <f t="shared" si="320"/>
        <v>0.36360902255639094</v>
      </c>
      <c r="V281" s="222">
        <f t="shared" si="321"/>
        <v>1.2466595059076262</v>
      </c>
      <c r="W281" s="202">
        <f t="shared" si="322"/>
        <v>350</v>
      </c>
      <c r="X281" s="452">
        <f t="shared" si="323"/>
        <v>350</v>
      </c>
      <c r="Z281" s="222">
        <f t="shared" si="324"/>
        <v>3.8709677419354835</v>
      </c>
      <c r="AA281" s="178">
        <f t="shared" si="325"/>
        <v>2.2119815668202762</v>
      </c>
      <c r="AB281" s="178">
        <f t="shared" si="350"/>
        <v>0.92211638517569838</v>
      </c>
      <c r="AC281" s="178"/>
      <c r="AD281" s="178">
        <f t="shared" si="327"/>
        <v>0.46857142857142853</v>
      </c>
      <c r="AE281" s="560">
        <f t="shared" si="351"/>
        <v>2623.4384295062468</v>
      </c>
      <c r="AF281" s="543">
        <f t="shared" si="352"/>
        <v>6.723999999999998E-2</v>
      </c>
      <c r="AH281" s="178">
        <f t="shared" si="353"/>
        <v>2.8324648528899949</v>
      </c>
      <c r="AI281" s="178">
        <f t="shared" si="354"/>
        <v>2.8324648528899949</v>
      </c>
      <c r="AJ281" s="178">
        <f t="shared" si="355"/>
        <v>2.6907147058444405</v>
      </c>
      <c r="AL281" s="560">
        <f t="shared" si="356"/>
        <v>504</v>
      </c>
      <c r="AM281" s="470">
        <f t="shared" si="357"/>
        <v>350</v>
      </c>
      <c r="AO281">
        <f t="shared" si="335"/>
        <v>504</v>
      </c>
      <c r="AP281">
        <f t="shared" si="336"/>
        <v>350</v>
      </c>
      <c r="AR281" s="6">
        <f t="shared" si="360"/>
        <v>2.8571428571428572</v>
      </c>
      <c r="AS281" s="6">
        <f t="shared" si="339"/>
        <v>0.47207747548166579</v>
      </c>
      <c r="AT281" s="6">
        <f t="shared" si="340"/>
        <v>2.3850653816611915</v>
      </c>
      <c r="AU281" s="178">
        <f t="shared" si="341"/>
        <v>0.16522711641858301</v>
      </c>
      <c r="AW281" s="6">
        <f>L*Iout^2/(2*Vripple1_spec*Vout*Npri_sec1^2)*1000000000*((1+N281)/(1-N281))^2</f>
        <v>3.8996913580246928</v>
      </c>
      <c r="AX281" s="6">
        <f>L*F281^2/(2*Cout*Vout*Nps^2)*1000000000*((1+N281)/(1-N281))^2+F281*RCoutEsr</f>
        <v>5.463797872340427</v>
      </c>
      <c r="AY281" s="6">
        <f>L*Iout2^2/(2*Vout_ripple2*Vout2*Npri_sec2^2)*1000000000*((1+N281)/(1-N281))^2</f>
        <v>1.5233169367283956</v>
      </c>
      <c r="AZ281" s="6">
        <f>L*G281^2/(2*Cout2*Vout2*Npri_sec2^2)*1000000000*((1+N281)/(1-N281))^2+G281*CoutEsr2</f>
        <v>2.4886710438829791</v>
      </c>
      <c r="BA281" s="6">
        <f>(H281+I281)/Efficiency/J281*AT281/Vinripple1</f>
        <v>0.87033964804478559</v>
      </c>
      <c r="BB281" s="6"/>
      <c r="CE281" s="577">
        <f t="shared" si="358"/>
        <v>-50</v>
      </c>
    </row>
    <row r="282" spans="5:83" x14ac:dyDescent="0.2">
      <c r="E282" s="175">
        <v>64</v>
      </c>
      <c r="F282" s="222">
        <f t="shared" si="359"/>
        <v>0.51200000000000001</v>
      </c>
      <c r="G282" s="222">
        <f t="shared" ref="G282:G318" si="361">IF(PLOT_TYPE=1, E282/100*Iout2, min_I*EXP(Q282*rr/100))</f>
        <v>0.32</v>
      </c>
      <c r="H282" s="222">
        <f t="shared" ref="H282:H318" si="362">F282*Vout</f>
        <v>6.1440000000000001</v>
      </c>
      <c r="I282" s="222">
        <f t="shared" ref="I282:I318" si="363">Vout2*G282</f>
        <v>3.84</v>
      </c>
      <c r="J282" s="556">
        <f t="shared" ref="J282:J318" si="364">VIN_max</f>
        <v>42</v>
      </c>
      <c r="K282" s="452">
        <f t="shared" ref="K282:K318" si="365">(S282+Vfwd1)*Nps</f>
        <v>12.25</v>
      </c>
      <c r="L282" s="452">
        <f t="shared" ref="L282:L318" si="366">(Vout+Vfwd1)*Nps+J282</f>
        <v>54.25</v>
      </c>
      <c r="M282" s="452"/>
      <c r="N282" s="222">
        <f t="shared" ref="N282:N318" si="367">(Vout+Vfwd1)*Nps/((Vout+Vfwd1)*Nps+J282)</f>
        <v>0.22580645161290322</v>
      </c>
      <c r="O282" s="177">
        <f t="shared" ref="O282:O313" si="368">N282*J282*Isw_max*0.5*Efficiency*Pout/(Pout+Pout2)</f>
        <v>11.36605459057072</v>
      </c>
      <c r="P282" s="177">
        <f t="shared" ref="P282:P318" si="369">N282*J282*Isw_max*0.5*Efficiency*(Pout2/Pout_total)</f>
        <v>11.543649193548385</v>
      </c>
      <c r="Q282" s="222">
        <f t="shared" ref="Q282:Q318" si="370">O282/Vout</f>
        <v>0.94717121588089326</v>
      </c>
      <c r="R282" s="222">
        <f t="shared" ref="R282:R318" si="371">O282/Vout2</f>
        <v>0.94717121588089326</v>
      </c>
      <c r="S282" s="222">
        <f t="shared" ref="S282:S318" si="372">MIN(Vout,O282/F282)</f>
        <v>12</v>
      </c>
      <c r="T282" s="222">
        <f t="shared" ref="T282:T318" si="373">MIN(2*(Vout*F282+Vout2*G282)/(Efficiency*J282*N282), Isw_max)</f>
        <v>2.216283566058002</v>
      </c>
      <c r="U282" s="222">
        <f t="shared" ref="U282:U318" si="374">L*T282/J282*1000000</f>
        <v>0.36938059434300036</v>
      </c>
      <c r="V282" s="222">
        <f t="shared" ref="V282:V318" si="375">L*T282/K282*1000000</f>
        <v>1.2664477520331441</v>
      </c>
      <c r="W282" s="202">
        <f t="shared" ref="W282:W318" si="376">IF(1/((350000*L)*(1/J282+1/K282))&gt;Isw_min, 350, 0.001/((Isw_min*L)*(1/J282+1/K282)))</f>
        <v>350</v>
      </c>
      <c r="X282" s="452">
        <f t="shared" ref="X282:X318" si="377">MIN(1/(U282+V282)*1000, 350)</f>
        <v>350</v>
      </c>
      <c r="Z282" s="222">
        <f t="shared" ref="Z282:Z318" si="378">1/((W282*1000*L)*(1/J282+1/K282))</f>
        <v>3.8709677419354835</v>
      </c>
      <c r="AA282" s="178">
        <f t="shared" ref="AA282:AA318" si="379">L*Z282/K282*1000000</f>
        <v>2.2119815668202762</v>
      </c>
      <c r="AB282" s="178">
        <f t="shared" ref="AB282:AB313" si="380">0.5*AA282*Z282*Nps*W282/1000*(Pout/(Pout+Pout2))</f>
        <v>0.92211638517569838</v>
      </c>
      <c r="AC282" s="178"/>
      <c r="AD282" s="178">
        <f t="shared" ref="AD282:AD318" si="381">L*Isw_min/K282*1000000</f>
        <v>0.46857142857142853</v>
      </c>
      <c r="AE282" s="560">
        <f t="shared" ref="AE282:AE313" si="382">MAX(10, F282/(0.5*AD282/1000000*Isw_min*Nps)/1000*Pout_total/Pout)</f>
        <v>2665.0803093396794</v>
      </c>
      <c r="AF282" s="543">
        <f t="shared" ref="AF282:AF318" si="383">0.5*AD282/1000000*Isw_min*Nps*W282*1000*(Pout/Pout_total)</f>
        <v>6.723999999999998E-2</v>
      </c>
      <c r="AH282" s="178">
        <f t="shared" ref="AH282:AH318" si="384">SQRT((H282+I282)/(0.5*L*Fsw_DCM))</f>
        <v>2.8548562278392677</v>
      </c>
      <c r="AI282" s="178">
        <f t="shared" ref="AI282:AI313" si="385">MAX(IF(F282&gt;AB282,T282,AH282),Isw_min)</f>
        <v>2.8548562278392677</v>
      </c>
      <c r="AJ282" s="178">
        <f t="shared" ref="AJ282:AJ313" si="386">IF(F282&gt;AF282, (AI282-Isw_min)/1.08*0.8+1.2, AE282*0.2/350+1)</f>
        <v>2.7073009095105691</v>
      </c>
      <c r="AL282" s="560">
        <f t="shared" ref="AL282:AL318" si="387">F282*1000</f>
        <v>512</v>
      </c>
      <c r="AM282" s="470">
        <f t="shared" ref="AM282:AM318" si="388">IF(F282&gt;AF282, X282, AE282)</f>
        <v>350</v>
      </c>
      <c r="AO282">
        <f t="shared" ref="AO282:AO318" si="389">IF(H282&gt;O282, "",AL282)</f>
        <v>512</v>
      </c>
      <c r="AP282">
        <f t="shared" ref="AP282:AP318" si="390">IF(H282&gt;O282, "",AM282)</f>
        <v>350</v>
      </c>
      <c r="AR282" s="6">
        <f t="shared" si="360"/>
        <v>2.8571428571428572</v>
      </c>
      <c r="AS282" s="6">
        <f t="shared" si="339"/>
        <v>0.4758093713065446</v>
      </c>
      <c r="AT282" s="6">
        <f t="shared" si="340"/>
        <v>2.3813334858363127</v>
      </c>
      <c r="AU282" s="178">
        <f t="shared" si="341"/>
        <v>0.16653327995729061</v>
      </c>
      <c r="AW282" s="6">
        <f>L*Iout^2/(2*Vripple1_spec*Vout*Npri_sec1^2)*1000000000*((1+N282)/(1-N282))^2</f>
        <v>3.8996913580246928</v>
      </c>
      <c r="AX282" s="6">
        <f>L*F282^2/(2*Cout*Vout*Nps^2)*1000000000*((1+N282)/(1-N282))^2+F282*RCoutEsr</f>
        <v>5.6142474389282917</v>
      </c>
      <c r="AY282" s="6">
        <f>L*Iout2^2/(2*Vout_ripple2*Vout2*Npri_sec2^2)*1000000000*((1+N282)/(1-N282))^2</f>
        <v>1.5233169367283956</v>
      </c>
      <c r="AZ282" s="6">
        <f>L*G282^2/(2*Cout2*Vout2*Npri_sec2^2)*1000000000*((1+N282)/(1-N282))^2+G282*CoutEsr2</f>
        <v>2.5530654058313642</v>
      </c>
      <c r="BA282" s="6">
        <f>(H282+I282)/Efficiency/J282*AT282/Vinripple1</f>
        <v>0.88277113237128912</v>
      </c>
      <c r="BB282" s="6"/>
      <c r="CE282" s="577">
        <f t="shared" ref="CE282:CE318" si="391">IF(ABS(F282-Ioutmax_Vinmax)&lt;Iout/200, AM282, -50)</f>
        <v>-50</v>
      </c>
    </row>
    <row r="283" spans="5:83" x14ac:dyDescent="0.2">
      <c r="E283" s="175">
        <v>65</v>
      </c>
      <c r="F283" s="222">
        <f t="shared" ref="F283:F314" si="392">IF(PLOT_TYPE=1, E283/100*Iout_max, min_I*EXP(O283*rr/100))</f>
        <v>0.52</v>
      </c>
      <c r="G283" s="222">
        <f t="shared" si="361"/>
        <v>0.32500000000000001</v>
      </c>
      <c r="H283" s="222">
        <f t="shared" si="362"/>
        <v>6.24</v>
      </c>
      <c r="I283" s="222">
        <f t="shared" si="363"/>
        <v>3.9000000000000004</v>
      </c>
      <c r="J283" s="556">
        <f t="shared" si="364"/>
        <v>42</v>
      </c>
      <c r="K283" s="452">
        <f t="shared" si="365"/>
        <v>12.25</v>
      </c>
      <c r="L283" s="452">
        <f t="shared" si="366"/>
        <v>54.25</v>
      </c>
      <c r="M283" s="452"/>
      <c r="N283" s="222">
        <f t="shared" si="367"/>
        <v>0.22580645161290322</v>
      </c>
      <c r="O283" s="177">
        <f t="shared" si="368"/>
        <v>11.36605459057072</v>
      </c>
      <c r="P283" s="177">
        <f t="shared" si="369"/>
        <v>11.543649193548385</v>
      </c>
      <c r="Q283" s="222">
        <f t="shared" si="370"/>
        <v>0.94717121588089326</v>
      </c>
      <c r="R283" s="222">
        <f t="shared" si="371"/>
        <v>0.94717121588089326</v>
      </c>
      <c r="S283" s="222">
        <f t="shared" si="372"/>
        <v>12</v>
      </c>
      <c r="T283" s="222">
        <f t="shared" si="373"/>
        <v>2.2509129967776587</v>
      </c>
      <c r="U283" s="222">
        <f t="shared" si="374"/>
        <v>0.37515216612960972</v>
      </c>
      <c r="V283" s="222">
        <f t="shared" si="375"/>
        <v>1.286235998158662</v>
      </c>
      <c r="W283" s="202">
        <f t="shared" si="376"/>
        <v>350</v>
      </c>
      <c r="X283" s="452">
        <f t="shared" si="377"/>
        <v>350</v>
      </c>
      <c r="Z283" s="222">
        <f t="shared" si="378"/>
        <v>3.8709677419354835</v>
      </c>
      <c r="AA283" s="178">
        <f t="shared" si="379"/>
        <v>2.2119815668202762</v>
      </c>
      <c r="AB283" s="178">
        <f t="shared" si="380"/>
        <v>0.92211638517569838</v>
      </c>
      <c r="AC283" s="178"/>
      <c r="AD283" s="178">
        <f t="shared" si="381"/>
        <v>0.46857142857142853</v>
      </c>
      <c r="AE283" s="560">
        <f t="shared" si="382"/>
        <v>2706.7221891731115</v>
      </c>
      <c r="AF283" s="543">
        <f t="shared" si="383"/>
        <v>6.723999999999998E-2</v>
      </c>
      <c r="AH283" s="178">
        <f t="shared" si="384"/>
        <v>2.8770733428969382</v>
      </c>
      <c r="AI283" s="178">
        <f t="shared" si="385"/>
        <v>2.8770733428969382</v>
      </c>
      <c r="AJ283" s="178">
        <f t="shared" si="386"/>
        <v>2.7237580317755099</v>
      </c>
      <c r="AL283" s="560">
        <f t="shared" si="387"/>
        <v>520</v>
      </c>
      <c r="AM283" s="470">
        <f t="shared" si="388"/>
        <v>350</v>
      </c>
      <c r="AO283">
        <f t="shared" si="389"/>
        <v>520</v>
      </c>
      <c r="AP283">
        <f t="shared" si="390"/>
        <v>350</v>
      </c>
      <c r="AR283" s="6">
        <f t="shared" si="360"/>
        <v>2.8571428571428572</v>
      </c>
      <c r="AS283" s="6">
        <f t="shared" si="339"/>
        <v>0.47951222381615638</v>
      </c>
      <c r="AT283" s="6">
        <f t="shared" si="340"/>
        <v>2.3776306333267008</v>
      </c>
      <c r="AU283" s="178">
        <f t="shared" si="341"/>
        <v>0.16782927833565472</v>
      </c>
      <c r="AW283" s="6">
        <f>L*Iout^2/(2*Vripple1_spec*Vout*Npri_sec1^2)*1000000000*((1+N283)/(1-N283))^2</f>
        <v>3.8996913580246928</v>
      </c>
      <c r="AX283" s="6">
        <f>L*F283^2/(2*Cout*Vout*Nps^2)*1000000000*((1+N283)/(1-N283))^2+F283*RCoutEsr</f>
        <v>5.766688337273445</v>
      </c>
      <c r="AY283" s="6">
        <f>L*Iout2^2/(2*Vout_ripple2*Vout2*Npri_sec2^2)*1000000000*((1+N283)/(1-N283))^2</f>
        <v>1.5233169367283956</v>
      </c>
      <c r="AZ283" s="6">
        <f>L*G283^2/(2*Cout2*Vout2*Npri_sec2^2)*1000000000*((1+N283)/(1-N283))^2+G283*CoutEsr2</f>
        <v>2.6182376317474394</v>
      </c>
      <c r="BA283" s="6">
        <f>(H283+I283)/Efficiency/J283*AT283/Vinripple1</f>
        <v>0.89517031920292378</v>
      </c>
      <c r="BB283" s="6"/>
      <c r="CE283" s="577">
        <f t="shared" si="391"/>
        <v>-50</v>
      </c>
    </row>
    <row r="284" spans="5:83" x14ac:dyDescent="0.2">
      <c r="E284" s="175">
        <v>66</v>
      </c>
      <c r="F284" s="222">
        <f t="shared" si="392"/>
        <v>0.52800000000000002</v>
      </c>
      <c r="G284" s="222">
        <f t="shared" si="361"/>
        <v>0.33</v>
      </c>
      <c r="H284" s="222">
        <f t="shared" si="362"/>
        <v>6.3360000000000003</v>
      </c>
      <c r="I284" s="222">
        <f t="shared" si="363"/>
        <v>3.96</v>
      </c>
      <c r="J284" s="556">
        <f t="shared" si="364"/>
        <v>42</v>
      </c>
      <c r="K284" s="452">
        <f t="shared" si="365"/>
        <v>12.25</v>
      </c>
      <c r="L284" s="452">
        <f t="shared" si="366"/>
        <v>54.25</v>
      </c>
      <c r="M284" s="452"/>
      <c r="N284" s="222">
        <f t="shared" si="367"/>
        <v>0.22580645161290322</v>
      </c>
      <c r="O284" s="177">
        <f t="shared" si="368"/>
        <v>11.36605459057072</v>
      </c>
      <c r="P284" s="177">
        <f t="shared" si="369"/>
        <v>11.543649193548385</v>
      </c>
      <c r="Q284" s="222">
        <f t="shared" si="370"/>
        <v>0.94717121588089326</v>
      </c>
      <c r="R284" s="222">
        <f t="shared" si="371"/>
        <v>0.94717121588089326</v>
      </c>
      <c r="S284" s="222">
        <f t="shared" si="372"/>
        <v>12</v>
      </c>
      <c r="T284" s="222">
        <f t="shared" si="373"/>
        <v>2.2855424274973144</v>
      </c>
      <c r="U284" s="222">
        <f t="shared" si="374"/>
        <v>0.38092373791621909</v>
      </c>
      <c r="V284" s="222">
        <f t="shared" si="375"/>
        <v>1.3060242442841796</v>
      </c>
      <c r="W284" s="202">
        <f t="shared" si="376"/>
        <v>350</v>
      </c>
      <c r="X284" s="452">
        <f t="shared" si="377"/>
        <v>350</v>
      </c>
      <c r="Z284" s="222">
        <f t="shared" si="378"/>
        <v>3.8709677419354835</v>
      </c>
      <c r="AA284" s="178">
        <f t="shared" si="379"/>
        <v>2.2119815668202762</v>
      </c>
      <c r="AB284" s="178">
        <f t="shared" si="380"/>
        <v>0.92211638517569838</v>
      </c>
      <c r="AC284" s="178"/>
      <c r="AD284" s="178">
        <f t="shared" si="381"/>
        <v>0.46857142857142853</v>
      </c>
      <c r="AE284" s="560">
        <f t="shared" si="382"/>
        <v>2748.3640690065445</v>
      </c>
      <c r="AF284" s="543">
        <f t="shared" si="383"/>
        <v>6.723999999999998E-2</v>
      </c>
      <c r="AH284" s="178">
        <f t="shared" si="384"/>
        <v>2.8991202043350448</v>
      </c>
      <c r="AI284" s="178">
        <f t="shared" si="385"/>
        <v>2.8991202043350448</v>
      </c>
      <c r="AJ284" s="178">
        <f t="shared" si="386"/>
        <v>2.7400890402481815</v>
      </c>
      <c r="AL284" s="560">
        <f t="shared" si="387"/>
        <v>528</v>
      </c>
      <c r="AM284" s="470">
        <f t="shared" si="388"/>
        <v>350</v>
      </c>
      <c r="AO284">
        <f t="shared" si="389"/>
        <v>528</v>
      </c>
      <c r="AP284">
        <f t="shared" si="390"/>
        <v>350</v>
      </c>
      <c r="AR284" s="6">
        <f t="shared" si="360"/>
        <v>2.8571428571428572</v>
      </c>
      <c r="AS284" s="6">
        <f t="shared" si="339"/>
        <v>0.48318670072250736</v>
      </c>
      <c r="AT284" s="6">
        <f t="shared" si="340"/>
        <v>2.3739561564203497</v>
      </c>
      <c r="AU284" s="178">
        <f t="shared" si="341"/>
        <v>0.16911534525287758</v>
      </c>
      <c r="AW284" s="6">
        <f>L*Iout^2/(2*Vripple1_spec*Vout*Npri_sec1^2)*1000000000*((1+N284)/(1-N284))^2</f>
        <v>3.8996913580246928</v>
      </c>
      <c r="AX284" s="6">
        <f>L*F284^2/(2*Cout*Vout*Nps^2)*1000000000*((1+N284)/(1-N284))^2+F284*RCoutEsr</f>
        <v>5.9211205673758887</v>
      </c>
      <c r="AY284" s="6">
        <f>L*Iout2^2/(2*Vout_ripple2*Vout2*Npri_sec2^2)*1000000000*((1+N284)/(1-N284))^2</f>
        <v>1.5233169367283956</v>
      </c>
      <c r="AZ284" s="6">
        <f>L*G284^2/(2*Cout2*Vout2*Npri_sec2^2)*1000000000*((1+N284)/(1-N284))^2+G284*CoutEsr2</f>
        <v>2.6841877216312064</v>
      </c>
      <c r="BA284" s="6">
        <f>(H284+I284)/Efficiency/J284*AT284/Vinripple1</f>
        <v>0.90753745795985974</v>
      </c>
      <c r="BB284" s="6"/>
      <c r="CE284" s="577">
        <f t="shared" si="391"/>
        <v>-50</v>
      </c>
    </row>
    <row r="285" spans="5:83" x14ac:dyDescent="0.2">
      <c r="E285" s="175">
        <v>67</v>
      </c>
      <c r="F285" s="222">
        <f t="shared" si="392"/>
        <v>0.53600000000000003</v>
      </c>
      <c r="G285" s="222">
        <f t="shared" si="361"/>
        <v>0.33500000000000002</v>
      </c>
      <c r="H285" s="222">
        <f t="shared" si="362"/>
        <v>6.4320000000000004</v>
      </c>
      <c r="I285" s="222">
        <f t="shared" si="363"/>
        <v>4.0200000000000005</v>
      </c>
      <c r="J285" s="556">
        <f t="shared" si="364"/>
        <v>42</v>
      </c>
      <c r="K285" s="452">
        <f t="shared" si="365"/>
        <v>12.25</v>
      </c>
      <c r="L285" s="452">
        <f t="shared" si="366"/>
        <v>54.25</v>
      </c>
      <c r="M285" s="452"/>
      <c r="N285" s="222">
        <f t="shared" si="367"/>
        <v>0.22580645161290322</v>
      </c>
      <c r="O285" s="177">
        <f t="shared" si="368"/>
        <v>11.36605459057072</v>
      </c>
      <c r="P285" s="177">
        <f t="shared" si="369"/>
        <v>11.543649193548385</v>
      </c>
      <c r="Q285" s="222">
        <f t="shared" si="370"/>
        <v>0.94717121588089326</v>
      </c>
      <c r="R285" s="222">
        <f t="shared" si="371"/>
        <v>0.94717121588089326</v>
      </c>
      <c r="S285" s="222">
        <f t="shared" si="372"/>
        <v>12</v>
      </c>
      <c r="T285" s="222">
        <f t="shared" si="373"/>
        <v>2.3201718582169715</v>
      </c>
      <c r="U285" s="222">
        <f t="shared" si="374"/>
        <v>0.38669530970282856</v>
      </c>
      <c r="V285" s="222">
        <f t="shared" si="375"/>
        <v>1.325812490409698</v>
      </c>
      <c r="W285" s="202">
        <f t="shared" si="376"/>
        <v>350</v>
      </c>
      <c r="X285" s="452">
        <f t="shared" si="377"/>
        <v>350</v>
      </c>
      <c r="Z285" s="222">
        <f t="shared" si="378"/>
        <v>3.8709677419354835</v>
      </c>
      <c r="AA285" s="178">
        <f t="shared" si="379"/>
        <v>2.2119815668202762</v>
      </c>
      <c r="AB285" s="178">
        <f t="shared" si="380"/>
        <v>0.92211638517569838</v>
      </c>
      <c r="AC285" s="178"/>
      <c r="AD285" s="178">
        <f t="shared" si="381"/>
        <v>0.46857142857142853</v>
      </c>
      <c r="AE285" s="560">
        <f t="shared" si="382"/>
        <v>2790.005948839977</v>
      </c>
      <c r="AF285" s="543">
        <f t="shared" si="383"/>
        <v>6.723999999999998E-2</v>
      </c>
      <c r="AH285" s="178">
        <f t="shared" si="384"/>
        <v>2.9210006672301847</v>
      </c>
      <c r="AI285" s="178">
        <f t="shared" si="385"/>
        <v>2.9210006672301847</v>
      </c>
      <c r="AJ285" s="178">
        <f t="shared" si="386"/>
        <v>2.756296790540878</v>
      </c>
      <c r="AL285" s="560">
        <f t="shared" si="387"/>
        <v>536</v>
      </c>
      <c r="AM285" s="470">
        <f t="shared" si="388"/>
        <v>350</v>
      </c>
      <c r="AO285">
        <f t="shared" si="389"/>
        <v>536</v>
      </c>
      <c r="AP285">
        <f t="shared" si="390"/>
        <v>350</v>
      </c>
      <c r="AR285" s="6">
        <f t="shared" si="360"/>
        <v>2.8571428571428572</v>
      </c>
      <c r="AS285" s="6">
        <f t="shared" si="339"/>
        <v>0.48683344453836414</v>
      </c>
      <c r="AT285" s="6">
        <f t="shared" si="340"/>
        <v>2.370309412604493</v>
      </c>
      <c r="AU285" s="178">
        <f t="shared" si="341"/>
        <v>0.17039170558842745</v>
      </c>
      <c r="AW285" s="6">
        <f>L*Iout^2/(2*Vripple1_spec*Vout*Npri_sec1^2)*1000000000*((1+N285)/(1-N285))^2</f>
        <v>3.8996913580246928</v>
      </c>
      <c r="AX285" s="6">
        <f>L*F285^2/(2*Cout*Vout*Nps^2)*1000000000*((1+N285)/(1-N285))^2+F285*RCoutEsr</f>
        <v>6.0775441292356209</v>
      </c>
      <c r="AY285" s="6">
        <f>L*Iout2^2/(2*Vout_ripple2*Vout2*Npri_sec2^2)*1000000000*((1+N285)/(1-N285))^2</f>
        <v>1.5233169367283956</v>
      </c>
      <c r="AZ285" s="6">
        <f>L*G285^2/(2*Cout2*Vout2*Npri_sec2^2)*1000000000*((1+N285)/(1-N285))^2+G285*CoutEsr2</f>
        <v>2.7509156754826645</v>
      </c>
      <c r="BA285" s="6">
        <f>(H285+I285)/Efficiency/J285*AT285/Vinripple1</f>
        <v>0.91987279237137887</v>
      </c>
      <c r="BB285" s="6"/>
      <c r="CE285" s="577">
        <f t="shared" si="391"/>
        <v>-50</v>
      </c>
    </row>
    <row r="286" spans="5:83" x14ac:dyDescent="0.2">
      <c r="E286" s="175">
        <v>68</v>
      </c>
      <c r="F286" s="222">
        <f t="shared" si="392"/>
        <v>0.54400000000000004</v>
      </c>
      <c r="G286" s="222">
        <f t="shared" si="361"/>
        <v>0.34</v>
      </c>
      <c r="H286" s="222">
        <f t="shared" si="362"/>
        <v>6.5280000000000005</v>
      </c>
      <c r="I286" s="222">
        <f t="shared" si="363"/>
        <v>4.08</v>
      </c>
      <c r="J286" s="556">
        <f t="shared" si="364"/>
        <v>42</v>
      </c>
      <c r="K286" s="452">
        <f t="shared" si="365"/>
        <v>12.25</v>
      </c>
      <c r="L286" s="452">
        <f t="shared" si="366"/>
        <v>54.25</v>
      </c>
      <c r="M286" s="452"/>
      <c r="N286" s="222">
        <f t="shared" si="367"/>
        <v>0.22580645161290322</v>
      </c>
      <c r="O286" s="177">
        <f t="shared" si="368"/>
        <v>11.36605459057072</v>
      </c>
      <c r="P286" s="177">
        <f t="shared" si="369"/>
        <v>11.543649193548385</v>
      </c>
      <c r="Q286" s="222">
        <f t="shared" si="370"/>
        <v>0.94717121588089326</v>
      </c>
      <c r="R286" s="222">
        <f t="shared" si="371"/>
        <v>0.94717121588089326</v>
      </c>
      <c r="S286" s="222">
        <f t="shared" si="372"/>
        <v>12</v>
      </c>
      <c r="T286" s="222">
        <f t="shared" si="373"/>
        <v>2.3548012889366272</v>
      </c>
      <c r="U286" s="222">
        <f t="shared" si="374"/>
        <v>0.39246688148943787</v>
      </c>
      <c r="V286" s="222">
        <f t="shared" si="375"/>
        <v>1.3456007365352156</v>
      </c>
      <c r="W286" s="202">
        <f t="shared" si="376"/>
        <v>350</v>
      </c>
      <c r="X286" s="452">
        <f t="shared" si="377"/>
        <v>350</v>
      </c>
      <c r="Z286" s="222">
        <f t="shared" si="378"/>
        <v>3.8709677419354835</v>
      </c>
      <c r="AA286" s="178">
        <f t="shared" si="379"/>
        <v>2.2119815668202762</v>
      </c>
      <c r="AB286" s="178">
        <f t="shared" si="380"/>
        <v>0.92211638517569838</v>
      </c>
      <c r="AC286" s="178"/>
      <c r="AD286" s="178">
        <f t="shared" si="381"/>
        <v>0.46857142857142853</v>
      </c>
      <c r="AE286" s="560">
        <f t="shared" si="382"/>
        <v>2831.6478286734091</v>
      </c>
      <c r="AF286" s="543">
        <f t="shared" si="383"/>
        <v>6.723999999999998E-2</v>
      </c>
      <c r="AH286" s="178">
        <f t="shared" si="384"/>
        <v>2.9427184433334244</v>
      </c>
      <c r="AI286" s="178">
        <f t="shared" si="385"/>
        <v>2.9427184433334244</v>
      </c>
      <c r="AJ286" s="178">
        <f t="shared" si="386"/>
        <v>2.7723840320988327</v>
      </c>
      <c r="AL286" s="560">
        <f t="shared" si="387"/>
        <v>544</v>
      </c>
      <c r="AM286" s="470">
        <f t="shared" si="388"/>
        <v>350</v>
      </c>
      <c r="AO286">
        <f t="shared" si="389"/>
        <v>544</v>
      </c>
      <c r="AP286">
        <f t="shared" si="390"/>
        <v>350</v>
      </c>
      <c r="AR286" s="6">
        <f t="shared" si="360"/>
        <v>2.8571428571428572</v>
      </c>
      <c r="AS286" s="6">
        <f t="shared" si="339"/>
        <v>0.49045307388890402</v>
      </c>
      <c r="AT286" s="6">
        <f t="shared" si="340"/>
        <v>2.3666897832539533</v>
      </c>
      <c r="AU286" s="178">
        <f t="shared" si="341"/>
        <v>0.17165857586111641</v>
      </c>
      <c r="AW286" s="6">
        <f>L*Iout^2/(2*Vripple1_spec*Vout*Npri_sec1^2)*1000000000*((1+N286)/(1-N286))^2</f>
        <v>3.8996913580246928</v>
      </c>
      <c r="AX286" s="6">
        <f>L*F286^2/(2*Cout*Vout*Nps^2)*1000000000*((1+N286)/(1-N286))^2+F286*RCoutEsr</f>
        <v>6.2359590228526418</v>
      </c>
      <c r="AY286" s="6">
        <f>L*Iout2^2/(2*Vout_ripple2*Vout2*Npri_sec2^2)*1000000000*((1+N286)/(1-N286))^2</f>
        <v>1.5233169367283956</v>
      </c>
      <c r="AZ286" s="6">
        <f>L*G286^2/(2*Cout2*Vout2*Npri_sec2^2)*1000000000*((1+N286)/(1-N286))^2+G286*CoutEsr2</f>
        <v>2.818421493301813</v>
      </c>
      <c r="BA286" s="6">
        <f>(H286+I286)/Efficiency/J286*AT286/Vinripple1</f>
        <v>0.93217656068905363</v>
      </c>
      <c r="BB286" s="6"/>
      <c r="CE286" s="577">
        <f t="shared" si="391"/>
        <v>-50</v>
      </c>
    </row>
    <row r="287" spans="5:83" x14ac:dyDescent="0.2">
      <c r="E287" s="175">
        <v>69</v>
      </c>
      <c r="F287" s="222">
        <f t="shared" si="392"/>
        <v>0.55199999999999994</v>
      </c>
      <c r="G287" s="222">
        <f t="shared" si="361"/>
        <v>0.34499999999999997</v>
      </c>
      <c r="H287" s="222">
        <f t="shared" si="362"/>
        <v>6.6239999999999988</v>
      </c>
      <c r="I287" s="222">
        <f t="shared" si="363"/>
        <v>4.1399999999999997</v>
      </c>
      <c r="J287" s="556">
        <f t="shared" si="364"/>
        <v>42</v>
      </c>
      <c r="K287" s="452">
        <f t="shared" si="365"/>
        <v>12.25</v>
      </c>
      <c r="L287" s="452">
        <f t="shared" si="366"/>
        <v>54.25</v>
      </c>
      <c r="M287" s="452"/>
      <c r="N287" s="222">
        <f t="shared" si="367"/>
        <v>0.22580645161290322</v>
      </c>
      <c r="O287" s="177">
        <f t="shared" si="368"/>
        <v>11.36605459057072</v>
      </c>
      <c r="P287" s="177">
        <f t="shared" si="369"/>
        <v>11.543649193548385</v>
      </c>
      <c r="Q287" s="222">
        <f t="shared" si="370"/>
        <v>0.94717121588089326</v>
      </c>
      <c r="R287" s="222">
        <f t="shared" si="371"/>
        <v>0.94717121588089326</v>
      </c>
      <c r="S287" s="222">
        <f t="shared" si="372"/>
        <v>12</v>
      </c>
      <c r="T287" s="222">
        <f t="shared" si="373"/>
        <v>2.3894307196562834</v>
      </c>
      <c r="U287" s="222">
        <f t="shared" si="374"/>
        <v>0.39823845327604723</v>
      </c>
      <c r="V287" s="222">
        <f t="shared" si="375"/>
        <v>1.3653889826607335</v>
      </c>
      <c r="W287" s="202">
        <f t="shared" si="376"/>
        <v>350</v>
      </c>
      <c r="X287" s="452">
        <f t="shared" si="377"/>
        <v>350</v>
      </c>
      <c r="Z287" s="222">
        <f t="shared" si="378"/>
        <v>3.8709677419354835</v>
      </c>
      <c r="AA287" s="178">
        <f t="shared" si="379"/>
        <v>2.2119815668202762</v>
      </c>
      <c r="AB287" s="178">
        <f t="shared" si="380"/>
        <v>0.92211638517569838</v>
      </c>
      <c r="AC287" s="178"/>
      <c r="AD287" s="178">
        <f t="shared" si="381"/>
        <v>0.46857142857142853</v>
      </c>
      <c r="AE287" s="560">
        <f t="shared" si="382"/>
        <v>2873.2897085068412</v>
      </c>
      <c r="AF287" s="543">
        <f t="shared" si="383"/>
        <v>6.723999999999998E-2</v>
      </c>
      <c r="AH287" s="178">
        <f t="shared" si="384"/>
        <v>2.9642771084212427</v>
      </c>
      <c r="AI287" s="178">
        <f t="shared" si="385"/>
        <v>2.9642771084212427</v>
      </c>
      <c r="AJ287" s="178">
        <f t="shared" si="386"/>
        <v>2.7883534136453649</v>
      </c>
      <c r="AL287" s="560">
        <f t="shared" si="387"/>
        <v>551.99999999999989</v>
      </c>
      <c r="AM287" s="470">
        <f t="shared" si="388"/>
        <v>350</v>
      </c>
      <c r="AO287">
        <f t="shared" si="389"/>
        <v>551.99999999999989</v>
      </c>
      <c r="AP287">
        <f t="shared" si="390"/>
        <v>350</v>
      </c>
      <c r="AR287" s="6">
        <f t="shared" si="360"/>
        <v>2.8571428571428572</v>
      </c>
      <c r="AS287" s="6">
        <f t="shared" si="339"/>
        <v>0.49404618473687373</v>
      </c>
      <c r="AT287" s="6">
        <f t="shared" si="340"/>
        <v>2.3630966724059834</v>
      </c>
      <c r="AU287" s="178">
        <f t="shared" si="341"/>
        <v>0.1729161646579058</v>
      </c>
      <c r="AW287" s="6">
        <f>L*Iout^2/(2*Vripple1_spec*Vout*Npri_sec1^2)*1000000000*((1+N287)/(1-N287))^2</f>
        <v>3.8996913580246928</v>
      </c>
      <c r="AX287" s="6">
        <f>L*F287^2/(2*Cout*Vout*Nps^2)*1000000000*((1+N287)/(1-N287))^2+F287*RCoutEsr</f>
        <v>6.3963652482269504</v>
      </c>
      <c r="AY287" s="6">
        <f>L*Iout2^2/(2*Vout_ripple2*Vout2*Npri_sec2^2)*1000000000*((1+N287)/(1-N287))^2</f>
        <v>1.5233169367283956</v>
      </c>
      <c r="AZ287" s="6">
        <f>L*G287^2/(2*Cout2*Vout2*Npri_sec2^2)*1000000000*((1+N287)/(1-N287))^2+G287*CoutEsr2</f>
        <v>2.8867051750886525</v>
      </c>
      <c r="BA287" s="6">
        <f>(H287+I287)/Efficiency/J287*AT287/Vinripple1</f>
        <v>0.94444899588890763</v>
      </c>
      <c r="BB287" s="6"/>
      <c r="CE287" s="577">
        <f t="shared" si="391"/>
        <v>-50</v>
      </c>
    </row>
    <row r="288" spans="5:83" x14ac:dyDescent="0.2">
      <c r="E288" s="175">
        <v>70</v>
      </c>
      <c r="F288" s="222">
        <f t="shared" si="392"/>
        <v>0.55999999999999994</v>
      </c>
      <c r="G288" s="222">
        <f t="shared" si="361"/>
        <v>0.35</v>
      </c>
      <c r="H288" s="222">
        <f t="shared" si="362"/>
        <v>6.7199999999999989</v>
      </c>
      <c r="I288" s="222">
        <f t="shared" si="363"/>
        <v>4.1999999999999993</v>
      </c>
      <c r="J288" s="556">
        <f t="shared" si="364"/>
        <v>42</v>
      </c>
      <c r="K288" s="452">
        <f t="shared" si="365"/>
        <v>12.25</v>
      </c>
      <c r="L288" s="452">
        <f t="shared" si="366"/>
        <v>54.25</v>
      </c>
      <c r="M288" s="452"/>
      <c r="N288" s="222">
        <f t="shared" si="367"/>
        <v>0.22580645161290322</v>
      </c>
      <c r="O288" s="177">
        <f t="shared" si="368"/>
        <v>11.36605459057072</v>
      </c>
      <c r="P288" s="177">
        <f t="shared" si="369"/>
        <v>11.543649193548385</v>
      </c>
      <c r="Q288" s="222">
        <f t="shared" si="370"/>
        <v>0.94717121588089326</v>
      </c>
      <c r="R288" s="222">
        <f t="shared" si="371"/>
        <v>0.94717121588089326</v>
      </c>
      <c r="S288" s="222">
        <f t="shared" si="372"/>
        <v>12</v>
      </c>
      <c r="T288" s="222">
        <f t="shared" si="373"/>
        <v>2.4240601503759396</v>
      </c>
      <c r="U288" s="222">
        <f t="shared" si="374"/>
        <v>0.4040100250626566</v>
      </c>
      <c r="V288" s="222">
        <f t="shared" si="375"/>
        <v>1.3851772287862512</v>
      </c>
      <c r="W288" s="202">
        <f t="shared" si="376"/>
        <v>350</v>
      </c>
      <c r="X288" s="452">
        <f t="shared" si="377"/>
        <v>350</v>
      </c>
      <c r="Z288" s="222">
        <f t="shared" si="378"/>
        <v>3.8709677419354835</v>
      </c>
      <c r="AA288" s="178">
        <f t="shared" si="379"/>
        <v>2.2119815668202762</v>
      </c>
      <c r="AB288" s="178">
        <f t="shared" si="380"/>
        <v>0.92211638517569838</v>
      </c>
      <c r="AC288" s="178"/>
      <c r="AD288" s="178">
        <f t="shared" si="381"/>
        <v>0.46857142857142853</v>
      </c>
      <c r="AE288" s="560">
        <f t="shared" si="382"/>
        <v>2914.9315883402742</v>
      </c>
      <c r="AF288" s="543">
        <f t="shared" si="383"/>
        <v>6.723999999999998E-2</v>
      </c>
      <c r="AH288" s="178">
        <f t="shared" si="384"/>
        <v>2.9856801091687153</v>
      </c>
      <c r="AI288" s="178">
        <f t="shared" si="385"/>
        <v>2.9856801091687153</v>
      </c>
      <c r="AJ288" s="178">
        <f t="shared" si="386"/>
        <v>2.8042074882731223</v>
      </c>
      <c r="AL288" s="560">
        <f t="shared" si="387"/>
        <v>559.99999999999989</v>
      </c>
      <c r="AM288" s="470">
        <f t="shared" si="388"/>
        <v>350</v>
      </c>
      <c r="AO288">
        <f t="shared" si="389"/>
        <v>559.99999999999989</v>
      </c>
      <c r="AP288">
        <f t="shared" si="390"/>
        <v>350</v>
      </c>
      <c r="AR288" s="6">
        <f t="shared" si="360"/>
        <v>2.8571428571428572</v>
      </c>
      <c r="AS288" s="6">
        <f t="shared" si="339"/>
        <v>0.49761335152811914</v>
      </c>
      <c r="AT288" s="6">
        <f t="shared" si="340"/>
        <v>2.3595295056147378</v>
      </c>
      <c r="AU288" s="178">
        <f t="shared" si="341"/>
        <v>0.1741646730348417</v>
      </c>
      <c r="AW288" s="6">
        <f>L*Iout^2/(2*Vripple1_spec*Vout*Npri_sec1^2)*1000000000*((1+N288)/(1-N288))^2</f>
        <v>3.8996913580246928</v>
      </c>
      <c r="AX288" s="6">
        <f>L*F288^2/(2*Cout*Vout*Nps^2)*1000000000*((1+N288)/(1-N288))^2+F288*RCoutEsr</f>
        <v>6.5587628053585494</v>
      </c>
      <c r="AY288" s="6">
        <f>L*Iout2^2/(2*Vout_ripple2*Vout2*Npri_sec2^2)*1000000000*((1+N288)/(1-N288))^2</f>
        <v>1.5233169367283956</v>
      </c>
      <c r="AZ288" s="6">
        <f>L*G288^2/(2*Cout2*Vout2*Npri_sec2^2)*1000000000*((1+N288)/(1-N288))^2+G288*CoutEsr2</f>
        <v>2.9557667208431835</v>
      </c>
      <c r="BA288" s="6">
        <f>(H288+I288)/Efficiency/J288*AT288/Vinripple1</f>
        <v>0.95669032586328528</v>
      </c>
      <c r="BB288" s="6"/>
      <c r="CE288" s="577">
        <f t="shared" si="391"/>
        <v>-50</v>
      </c>
    </row>
    <row r="289" spans="5:83" x14ac:dyDescent="0.2">
      <c r="E289" s="175">
        <v>71</v>
      </c>
      <c r="F289" s="222">
        <f t="shared" si="392"/>
        <v>0.56799999999999995</v>
      </c>
      <c r="G289" s="222">
        <f t="shared" si="361"/>
        <v>0.35499999999999998</v>
      </c>
      <c r="H289" s="222">
        <f t="shared" si="362"/>
        <v>6.8159999999999989</v>
      </c>
      <c r="I289" s="222">
        <f t="shared" si="363"/>
        <v>4.26</v>
      </c>
      <c r="J289" s="556">
        <f t="shared" si="364"/>
        <v>42</v>
      </c>
      <c r="K289" s="452">
        <f t="shared" si="365"/>
        <v>12.25</v>
      </c>
      <c r="L289" s="452">
        <f t="shared" si="366"/>
        <v>54.25</v>
      </c>
      <c r="M289" s="452"/>
      <c r="N289" s="222">
        <f t="shared" si="367"/>
        <v>0.22580645161290322</v>
      </c>
      <c r="O289" s="177">
        <f t="shared" si="368"/>
        <v>11.36605459057072</v>
      </c>
      <c r="P289" s="177">
        <f t="shared" si="369"/>
        <v>11.543649193548385</v>
      </c>
      <c r="Q289" s="222">
        <f t="shared" si="370"/>
        <v>0.94717121588089326</v>
      </c>
      <c r="R289" s="222">
        <f t="shared" si="371"/>
        <v>0.94717121588089326</v>
      </c>
      <c r="S289" s="222">
        <f t="shared" si="372"/>
        <v>12</v>
      </c>
      <c r="T289" s="222">
        <f t="shared" si="373"/>
        <v>2.4586895810955958</v>
      </c>
      <c r="U289" s="222">
        <f t="shared" si="374"/>
        <v>0.40978159684926591</v>
      </c>
      <c r="V289" s="222">
        <f t="shared" si="375"/>
        <v>1.4049654749117688</v>
      </c>
      <c r="W289" s="202">
        <f t="shared" si="376"/>
        <v>350</v>
      </c>
      <c r="X289" s="452">
        <f t="shared" si="377"/>
        <v>350</v>
      </c>
      <c r="Z289" s="222">
        <f t="shared" si="378"/>
        <v>3.8709677419354835</v>
      </c>
      <c r="AA289" s="178">
        <f t="shared" si="379"/>
        <v>2.2119815668202762</v>
      </c>
      <c r="AB289" s="178">
        <f t="shared" si="380"/>
        <v>0.92211638517569838</v>
      </c>
      <c r="AC289" s="178"/>
      <c r="AD289" s="178">
        <f t="shared" si="381"/>
        <v>0.46857142857142853</v>
      </c>
      <c r="AE289" s="560">
        <f t="shared" si="382"/>
        <v>2956.5734681737063</v>
      </c>
      <c r="AF289" s="543">
        <f t="shared" si="383"/>
        <v>6.723999999999998E-2</v>
      </c>
      <c r="AH289" s="178">
        <f t="shared" si="384"/>
        <v>3.0069307695823699</v>
      </c>
      <c r="AI289" s="178">
        <f t="shared" si="385"/>
        <v>3.0069307695823699</v>
      </c>
      <c r="AJ289" s="178">
        <f t="shared" si="386"/>
        <v>2.8199487182091634</v>
      </c>
      <c r="AL289" s="560">
        <f t="shared" si="387"/>
        <v>568</v>
      </c>
      <c r="AM289" s="470">
        <f t="shared" si="388"/>
        <v>350</v>
      </c>
      <c r="AO289">
        <f t="shared" si="389"/>
        <v>568</v>
      </c>
      <c r="AP289">
        <f t="shared" si="390"/>
        <v>350</v>
      </c>
      <c r="AR289" s="6">
        <f t="shared" si="360"/>
        <v>2.8571428571428572</v>
      </c>
      <c r="AS289" s="6">
        <f t="shared" si="339"/>
        <v>0.50115512826372832</v>
      </c>
      <c r="AT289" s="6">
        <f t="shared" si="340"/>
        <v>2.3559877288791289</v>
      </c>
      <c r="AU289" s="178">
        <f t="shared" si="341"/>
        <v>0.17540429489230491</v>
      </c>
      <c r="AW289" s="6">
        <f>L*Iout^2/(2*Vripple1_spec*Vout*Npri_sec1^2)*1000000000*((1+N289)/(1-N289))^2</f>
        <v>3.8996913580246928</v>
      </c>
      <c r="AX289" s="6">
        <f>L*F289^2/(2*Cout*Vout*Nps^2)*1000000000*((1+N289)/(1-N289))^2+F289*RCoutEsr</f>
        <v>6.7231516942474396</v>
      </c>
      <c r="AY289" s="6">
        <f>L*Iout2^2/(2*Vout_ripple2*Vout2*Npri_sec2^2)*1000000000*((1+N289)/(1-N289))^2</f>
        <v>1.5233169367283956</v>
      </c>
      <c r="AZ289" s="6">
        <f>L*G289^2/(2*Cout2*Vout2*Npri_sec2^2)*1000000000*((1+N289)/(1-N289))^2+G289*CoutEsr2</f>
        <v>3.0256061305654063</v>
      </c>
      <c r="BA289" s="6">
        <f>(H289+I289)/Efficiency/J289*AT289/Vinripple1</f>
        <v>0.96890077360309024</v>
      </c>
      <c r="BB289" s="6"/>
      <c r="CE289" s="577">
        <f t="shared" si="391"/>
        <v>-50</v>
      </c>
    </row>
    <row r="290" spans="5:83" x14ac:dyDescent="0.2">
      <c r="E290" s="175">
        <v>72</v>
      </c>
      <c r="F290" s="222">
        <f t="shared" si="392"/>
        <v>0.57599999999999996</v>
      </c>
      <c r="G290" s="222">
        <f t="shared" si="361"/>
        <v>0.36</v>
      </c>
      <c r="H290" s="222">
        <f t="shared" si="362"/>
        <v>6.911999999999999</v>
      </c>
      <c r="I290" s="222">
        <f t="shared" si="363"/>
        <v>4.32</v>
      </c>
      <c r="J290" s="556">
        <f t="shared" si="364"/>
        <v>42</v>
      </c>
      <c r="K290" s="452">
        <f t="shared" si="365"/>
        <v>12.25</v>
      </c>
      <c r="L290" s="452">
        <f t="shared" si="366"/>
        <v>54.25</v>
      </c>
      <c r="M290" s="452"/>
      <c r="N290" s="222">
        <f t="shared" si="367"/>
        <v>0.22580645161290322</v>
      </c>
      <c r="O290" s="177">
        <f t="shared" si="368"/>
        <v>11.36605459057072</v>
      </c>
      <c r="P290" s="177">
        <f t="shared" si="369"/>
        <v>11.543649193548385</v>
      </c>
      <c r="Q290" s="222">
        <f t="shared" si="370"/>
        <v>0.94717121588089326</v>
      </c>
      <c r="R290" s="222">
        <f t="shared" si="371"/>
        <v>0.94717121588089326</v>
      </c>
      <c r="S290" s="222">
        <f t="shared" si="372"/>
        <v>12</v>
      </c>
      <c r="T290" s="222">
        <f t="shared" si="373"/>
        <v>2.4933190118152524</v>
      </c>
      <c r="U290" s="222">
        <f t="shared" si="374"/>
        <v>0.41555316863587538</v>
      </c>
      <c r="V290" s="222">
        <f t="shared" si="375"/>
        <v>1.4247537210372874</v>
      </c>
      <c r="W290" s="202">
        <f t="shared" si="376"/>
        <v>350</v>
      </c>
      <c r="X290" s="452">
        <f t="shared" si="377"/>
        <v>350</v>
      </c>
      <c r="Z290" s="222">
        <f t="shared" si="378"/>
        <v>3.8709677419354835</v>
      </c>
      <c r="AA290" s="178">
        <f t="shared" si="379"/>
        <v>2.2119815668202762</v>
      </c>
      <c r="AB290" s="178">
        <f t="shared" si="380"/>
        <v>0.92211638517569838</v>
      </c>
      <c r="AC290" s="178"/>
      <c r="AD290" s="178">
        <f t="shared" si="381"/>
        <v>0.46857142857142853</v>
      </c>
      <c r="AE290" s="560">
        <f t="shared" si="382"/>
        <v>2998.2153480071388</v>
      </c>
      <c r="AF290" s="543">
        <f t="shared" si="383"/>
        <v>6.723999999999998E-2</v>
      </c>
      <c r="AH290" s="178">
        <f t="shared" si="384"/>
        <v>3.02803229702669</v>
      </c>
      <c r="AI290" s="178">
        <f t="shared" si="385"/>
        <v>3.02803229702669</v>
      </c>
      <c r="AJ290" s="178">
        <f t="shared" si="386"/>
        <v>2.8355794792790299</v>
      </c>
      <c r="AL290" s="560">
        <f t="shared" si="387"/>
        <v>576</v>
      </c>
      <c r="AM290" s="470">
        <f t="shared" si="388"/>
        <v>350</v>
      </c>
      <c r="AO290">
        <f t="shared" si="389"/>
        <v>576</v>
      </c>
      <c r="AP290">
        <f t="shared" si="390"/>
        <v>350</v>
      </c>
      <c r="AR290" s="6">
        <f t="shared" si="360"/>
        <v>2.8571428571428572</v>
      </c>
      <c r="AS290" s="6">
        <f t="shared" si="339"/>
        <v>0.50467204950444833</v>
      </c>
      <c r="AT290" s="6">
        <f t="shared" si="340"/>
        <v>2.3524708076384089</v>
      </c>
      <c r="AU290" s="178">
        <f t="shared" si="341"/>
        <v>0.1766352173265569</v>
      </c>
      <c r="AW290" s="6">
        <f>L*Iout^2/(2*Vripple1_spec*Vout*Npri_sec1^2)*1000000000*((1+N290)/(1-N290))^2</f>
        <v>3.8996913580246928</v>
      </c>
      <c r="AX290" s="6">
        <f>L*F290^2/(2*Cout*Vout*Nps^2)*1000000000*((1+N290)/(1-N290))^2+F290*RCoutEsr</f>
        <v>6.8895319148936185</v>
      </c>
      <c r="AY290" s="6">
        <f>L*Iout2^2/(2*Vout_ripple2*Vout2*Npri_sec2^2)*1000000000*((1+N290)/(1-N290))^2</f>
        <v>1.5233169367283956</v>
      </c>
      <c r="AZ290" s="6">
        <f>L*G290^2/(2*Cout2*Vout2*Npri_sec2^2)*1000000000*((1+N290)/(1-N290))^2+G290*CoutEsr2</f>
        <v>3.0962234042553196</v>
      </c>
      <c r="BA290" s="6">
        <f>(H290+I290)/Efficiency/J290*AT290/Vinripple1</f>
        <v>0.9810805573710053</v>
      </c>
      <c r="BB290" s="6"/>
      <c r="CE290" s="577">
        <f t="shared" si="391"/>
        <v>-50</v>
      </c>
    </row>
    <row r="291" spans="5:83" x14ac:dyDescent="0.2">
      <c r="E291" s="175">
        <v>73</v>
      </c>
      <c r="F291" s="222">
        <f t="shared" si="392"/>
        <v>0.58399999999999996</v>
      </c>
      <c r="G291" s="222">
        <f t="shared" si="361"/>
        <v>0.36499999999999999</v>
      </c>
      <c r="H291" s="222">
        <f t="shared" si="362"/>
        <v>7.0079999999999991</v>
      </c>
      <c r="I291" s="222">
        <f t="shared" si="363"/>
        <v>4.38</v>
      </c>
      <c r="J291" s="556">
        <f t="shared" si="364"/>
        <v>42</v>
      </c>
      <c r="K291" s="452">
        <f t="shared" si="365"/>
        <v>12.25</v>
      </c>
      <c r="L291" s="452">
        <f t="shared" si="366"/>
        <v>54.25</v>
      </c>
      <c r="M291" s="452"/>
      <c r="N291" s="222">
        <f t="shared" si="367"/>
        <v>0.22580645161290322</v>
      </c>
      <c r="O291" s="177">
        <f t="shared" si="368"/>
        <v>11.36605459057072</v>
      </c>
      <c r="P291" s="177">
        <f t="shared" si="369"/>
        <v>11.543649193548385</v>
      </c>
      <c r="Q291" s="222">
        <f t="shared" si="370"/>
        <v>0.94717121588089326</v>
      </c>
      <c r="R291" s="222">
        <f t="shared" si="371"/>
        <v>0.94717121588089326</v>
      </c>
      <c r="S291" s="222">
        <f t="shared" si="372"/>
        <v>12</v>
      </c>
      <c r="T291" s="222">
        <f t="shared" si="373"/>
        <v>2.5279484425349081</v>
      </c>
      <c r="U291" s="222">
        <f t="shared" si="374"/>
        <v>0.42132474042248469</v>
      </c>
      <c r="V291" s="222">
        <f t="shared" si="375"/>
        <v>1.4445419671628046</v>
      </c>
      <c r="W291" s="202">
        <f t="shared" si="376"/>
        <v>350</v>
      </c>
      <c r="X291" s="452">
        <f t="shared" si="377"/>
        <v>350</v>
      </c>
      <c r="Z291" s="222">
        <f t="shared" si="378"/>
        <v>3.8709677419354835</v>
      </c>
      <c r="AA291" s="178">
        <f t="shared" si="379"/>
        <v>2.2119815668202762</v>
      </c>
      <c r="AB291" s="178">
        <f t="shared" si="380"/>
        <v>0.92211638517569838</v>
      </c>
      <c r="AC291" s="178"/>
      <c r="AD291" s="178">
        <f t="shared" si="381"/>
        <v>0.46857142857142853</v>
      </c>
      <c r="AE291" s="560">
        <f t="shared" si="382"/>
        <v>3039.8572278405718</v>
      </c>
      <c r="AF291" s="543">
        <f t="shared" si="383"/>
        <v>6.723999999999998E-2</v>
      </c>
      <c r="AH291" s="178">
        <f t="shared" si="384"/>
        <v>3.0489877878752223</v>
      </c>
      <c r="AI291" s="178">
        <f t="shared" si="385"/>
        <v>3.0489877878752223</v>
      </c>
      <c r="AJ291" s="178">
        <f t="shared" si="386"/>
        <v>2.8511020650927574</v>
      </c>
      <c r="AL291" s="560">
        <f t="shared" si="387"/>
        <v>584</v>
      </c>
      <c r="AM291" s="470">
        <f t="shared" si="388"/>
        <v>350</v>
      </c>
      <c r="AO291">
        <f t="shared" si="389"/>
        <v>584</v>
      </c>
      <c r="AP291">
        <f t="shared" si="390"/>
        <v>350</v>
      </c>
      <c r="AR291" s="6">
        <f t="shared" si="360"/>
        <v>2.8571428571428572</v>
      </c>
      <c r="AS291" s="6">
        <f t="shared" si="339"/>
        <v>0.50816463131253709</v>
      </c>
      <c r="AT291" s="6">
        <f t="shared" si="340"/>
        <v>2.34897822583032</v>
      </c>
      <c r="AU291" s="178">
        <f t="shared" si="341"/>
        <v>0.17785762095938798</v>
      </c>
      <c r="AW291" s="6">
        <f>L*Iout^2/(2*Vripple1_spec*Vout*Npri_sec1^2)*1000000000*((1+N291)/(1-N291))^2</f>
        <v>3.8996913580246928</v>
      </c>
      <c r="AX291" s="6">
        <f>L*F291^2/(2*Cout*Vout*Nps^2)*1000000000*((1+N291)/(1-N291))^2+F291*RCoutEsr</f>
        <v>7.0579034672970842</v>
      </c>
      <c r="AY291" s="6">
        <f>L*Iout2^2/(2*Vout_ripple2*Vout2*Npri_sec2^2)*1000000000*((1+N291)/(1-N291))^2</f>
        <v>1.5233169367283956</v>
      </c>
      <c r="AZ291" s="6">
        <f>L*G291^2/(2*Cout2*Vout2*Npri_sec2^2)*1000000000*((1+N291)/(1-N291))^2+G291*CoutEsr2</f>
        <v>3.1676185419129235</v>
      </c>
      <c r="BA291" s="6">
        <f>(H291+I291)/Efficiency/J291*AT291/Vinripple1</f>
        <v>0.99322989086626501</v>
      </c>
      <c r="BB291" s="6"/>
      <c r="CE291" s="577">
        <f t="shared" si="391"/>
        <v>-50</v>
      </c>
    </row>
    <row r="292" spans="5:83" x14ac:dyDescent="0.2">
      <c r="E292" s="175">
        <v>74</v>
      </c>
      <c r="F292" s="222">
        <f t="shared" si="392"/>
        <v>0.59199999999999997</v>
      </c>
      <c r="G292" s="222">
        <f t="shared" si="361"/>
        <v>0.37</v>
      </c>
      <c r="H292" s="222">
        <f t="shared" si="362"/>
        <v>7.1039999999999992</v>
      </c>
      <c r="I292" s="222">
        <f t="shared" si="363"/>
        <v>4.4399999999999995</v>
      </c>
      <c r="J292" s="556">
        <f t="shared" si="364"/>
        <v>42</v>
      </c>
      <c r="K292" s="452">
        <f t="shared" si="365"/>
        <v>12.25</v>
      </c>
      <c r="L292" s="452">
        <f t="shared" si="366"/>
        <v>54.25</v>
      </c>
      <c r="M292" s="452"/>
      <c r="N292" s="222">
        <f t="shared" si="367"/>
        <v>0.22580645161290322</v>
      </c>
      <c r="O292" s="177">
        <f t="shared" si="368"/>
        <v>11.36605459057072</v>
      </c>
      <c r="P292" s="177">
        <f t="shared" si="369"/>
        <v>11.543649193548385</v>
      </c>
      <c r="Q292" s="222">
        <f t="shared" si="370"/>
        <v>0.94717121588089326</v>
      </c>
      <c r="R292" s="222">
        <f t="shared" si="371"/>
        <v>0.94717121588089326</v>
      </c>
      <c r="S292" s="222">
        <f t="shared" si="372"/>
        <v>12</v>
      </c>
      <c r="T292" s="222">
        <f t="shared" si="373"/>
        <v>2.5625778732545648</v>
      </c>
      <c r="U292" s="222">
        <f t="shared" si="374"/>
        <v>0.42709631220909405</v>
      </c>
      <c r="V292" s="222">
        <f t="shared" si="375"/>
        <v>1.4643302132883227</v>
      </c>
      <c r="W292" s="202">
        <f t="shared" si="376"/>
        <v>350</v>
      </c>
      <c r="X292" s="452">
        <f t="shared" si="377"/>
        <v>350</v>
      </c>
      <c r="Z292" s="222">
        <f t="shared" si="378"/>
        <v>3.8709677419354835</v>
      </c>
      <c r="AA292" s="178">
        <f t="shared" si="379"/>
        <v>2.2119815668202762</v>
      </c>
      <c r="AB292" s="178">
        <f t="shared" si="380"/>
        <v>0.92211638517569838</v>
      </c>
      <c r="AC292" s="178"/>
      <c r="AD292" s="178">
        <f t="shared" si="381"/>
        <v>0.46857142857142853</v>
      </c>
      <c r="AE292" s="560">
        <f t="shared" si="382"/>
        <v>3081.4991076740039</v>
      </c>
      <c r="AF292" s="543">
        <f t="shared" si="383"/>
        <v>6.723999999999998E-2</v>
      </c>
      <c r="AH292" s="178">
        <f t="shared" si="384"/>
        <v>3.0698002328144667</v>
      </c>
      <c r="AI292" s="178">
        <f t="shared" si="385"/>
        <v>3.0698002328144667</v>
      </c>
      <c r="AJ292" s="178">
        <f t="shared" si="386"/>
        <v>2.8665186909736793</v>
      </c>
      <c r="AL292" s="560">
        <f t="shared" si="387"/>
        <v>592</v>
      </c>
      <c r="AM292" s="470">
        <f t="shared" si="388"/>
        <v>350</v>
      </c>
      <c r="AO292">
        <f t="shared" si="389"/>
        <v>592</v>
      </c>
      <c r="AP292">
        <f t="shared" si="390"/>
        <v>350</v>
      </c>
      <c r="AR292" s="6">
        <f t="shared" si="360"/>
        <v>2.8571428571428572</v>
      </c>
      <c r="AS292" s="6">
        <f t="shared" si="339"/>
        <v>0.51163337213574445</v>
      </c>
      <c r="AT292" s="6">
        <f t="shared" si="340"/>
        <v>2.3455094850071125</v>
      </c>
      <c r="AU292" s="178">
        <f t="shared" si="341"/>
        <v>0.17907168024751055</v>
      </c>
      <c r="AW292" s="6">
        <f>L*Iout^2/(2*Vripple1_spec*Vout*Npri_sec1^2)*1000000000*((1+N292)/(1-N292))^2</f>
        <v>3.8996913580246928</v>
      </c>
      <c r="AX292" s="6">
        <f>L*F292^2/(2*Cout*Vout*Nps^2)*1000000000*((1+N292)/(1-N292))^2+F292*RCoutEsr</f>
        <v>7.2282663514578411</v>
      </c>
      <c r="AY292" s="6">
        <f>L*Iout2^2/(2*Vout_ripple2*Vout2*Npri_sec2^2)*1000000000*((1+N292)/(1-N292))^2</f>
        <v>1.5233169367283956</v>
      </c>
      <c r="AZ292" s="6">
        <f>L*G292^2/(2*Cout2*Vout2*Npri_sec2^2)*1000000000*((1+N292)/(1-N292))^2+G292*CoutEsr2</f>
        <v>3.2397915435382196</v>
      </c>
      <c r="BA292" s="6">
        <f>(H292+I292)/Efficiency/J292*AT292/Vinripple1</f>
        <v>1.0053489833814946</v>
      </c>
      <c r="BB292" s="6"/>
      <c r="CE292" s="577">
        <f t="shared" si="391"/>
        <v>-50</v>
      </c>
    </row>
    <row r="293" spans="5:83" x14ac:dyDescent="0.2">
      <c r="E293" s="175">
        <v>75</v>
      </c>
      <c r="F293" s="222">
        <f t="shared" si="392"/>
        <v>0.60000000000000009</v>
      </c>
      <c r="G293" s="222">
        <f t="shared" si="361"/>
        <v>0.375</v>
      </c>
      <c r="H293" s="222">
        <f t="shared" si="362"/>
        <v>7.2000000000000011</v>
      </c>
      <c r="I293" s="222">
        <f t="shared" si="363"/>
        <v>4.5</v>
      </c>
      <c r="J293" s="556">
        <f t="shared" si="364"/>
        <v>42</v>
      </c>
      <c r="K293" s="452">
        <f t="shared" si="365"/>
        <v>12.25</v>
      </c>
      <c r="L293" s="452">
        <f t="shared" si="366"/>
        <v>54.25</v>
      </c>
      <c r="M293" s="452"/>
      <c r="N293" s="222">
        <f t="shared" si="367"/>
        <v>0.22580645161290322</v>
      </c>
      <c r="O293" s="177">
        <f t="shared" si="368"/>
        <v>11.36605459057072</v>
      </c>
      <c r="P293" s="177">
        <f t="shared" si="369"/>
        <v>11.543649193548385</v>
      </c>
      <c r="Q293" s="222">
        <f t="shared" si="370"/>
        <v>0.94717121588089326</v>
      </c>
      <c r="R293" s="222">
        <f t="shared" si="371"/>
        <v>0.94717121588089326</v>
      </c>
      <c r="S293" s="222">
        <f t="shared" si="372"/>
        <v>12</v>
      </c>
      <c r="T293" s="222">
        <f t="shared" si="373"/>
        <v>2.5972073039742214</v>
      </c>
      <c r="U293" s="222">
        <f t="shared" si="374"/>
        <v>0.43286788399570364</v>
      </c>
      <c r="V293" s="222">
        <f t="shared" si="375"/>
        <v>1.4841184594138408</v>
      </c>
      <c r="W293" s="202">
        <f t="shared" si="376"/>
        <v>350</v>
      </c>
      <c r="X293" s="452">
        <f t="shared" si="377"/>
        <v>350</v>
      </c>
      <c r="Z293" s="222">
        <f t="shared" si="378"/>
        <v>3.8709677419354835</v>
      </c>
      <c r="AA293" s="178">
        <f t="shared" si="379"/>
        <v>2.2119815668202762</v>
      </c>
      <c r="AB293" s="178">
        <f t="shared" si="380"/>
        <v>0.92211638517569838</v>
      </c>
      <c r="AC293" s="178"/>
      <c r="AD293" s="178">
        <f t="shared" si="381"/>
        <v>0.46857142857142853</v>
      </c>
      <c r="AE293" s="560">
        <f t="shared" si="382"/>
        <v>3123.1409875074373</v>
      </c>
      <c r="AF293" s="543">
        <f t="shared" si="383"/>
        <v>6.723999999999998E-2</v>
      </c>
      <c r="AH293" s="178">
        <f t="shared" si="384"/>
        <v>3.0904725218262765</v>
      </c>
      <c r="AI293" s="178">
        <f t="shared" si="385"/>
        <v>3.0904725218262765</v>
      </c>
      <c r="AJ293" s="178">
        <f t="shared" si="386"/>
        <v>2.881831497649094</v>
      </c>
      <c r="AL293" s="560">
        <f t="shared" si="387"/>
        <v>600.00000000000011</v>
      </c>
      <c r="AM293" s="470">
        <f t="shared" si="388"/>
        <v>350</v>
      </c>
      <c r="AO293">
        <f t="shared" si="389"/>
        <v>600.00000000000011</v>
      </c>
      <c r="AP293">
        <f t="shared" si="390"/>
        <v>350</v>
      </c>
      <c r="AR293" s="6">
        <f t="shared" si="360"/>
        <v>2.8571428571428572</v>
      </c>
      <c r="AS293" s="6">
        <f t="shared" si="339"/>
        <v>0.51507875363771272</v>
      </c>
      <c r="AT293" s="6">
        <f t="shared" si="340"/>
        <v>2.3420641035051446</v>
      </c>
      <c r="AU293" s="178">
        <f t="shared" si="341"/>
        <v>0.18027756377319945</v>
      </c>
      <c r="AW293" s="6">
        <f>L*Iout^2/(2*Vripple1_spec*Vout*Npri_sec1^2)*1000000000*((1+N293)/(1-N293))^2</f>
        <v>3.8996913580246928</v>
      </c>
      <c r="AX293" s="6">
        <f>L*F293^2/(2*Cout*Vout*Nps^2)*1000000000*((1+N293)/(1-N293))^2+F293*RCoutEsr</f>
        <v>7.4006205673758885</v>
      </c>
      <c r="AY293" s="6">
        <f>L*Iout2^2/(2*Vout_ripple2*Vout2*Npri_sec2^2)*1000000000*((1+N293)/(1-N293))^2</f>
        <v>1.5233169367283956</v>
      </c>
      <c r="AZ293" s="6">
        <f>L*G293^2/(2*Cout2*Vout2*Npri_sec2^2)*1000000000*((1+N293)/(1-N293))^2+G293*CoutEsr2</f>
        <v>3.3127424091312063</v>
      </c>
      <c r="BA293" s="6">
        <f>(H293+I293)/Efficiency/J293*AT293/Vinripple1</f>
        <v>1.0174380399521097</v>
      </c>
      <c r="BB293" s="6"/>
      <c r="CE293" s="577">
        <f t="shared" si="391"/>
        <v>-50</v>
      </c>
    </row>
    <row r="294" spans="5:83" x14ac:dyDescent="0.2">
      <c r="E294" s="175">
        <v>76</v>
      </c>
      <c r="F294" s="222">
        <f t="shared" si="392"/>
        <v>0.6080000000000001</v>
      </c>
      <c r="G294" s="222">
        <f t="shared" si="361"/>
        <v>0.38</v>
      </c>
      <c r="H294" s="222">
        <f t="shared" si="362"/>
        <v>7.2960000000000012</v>
      </c>
      <c r="I294" s="222">
        <f t="shared" si="363"/>
        <v>4.5600000000000005</v>
      </c>
      <c r="J294" s="556">
        <f t="shared" si="364"/>
        <v>42</v>
      </c>
      <c r="K294" s="452">
        <f t="shared" si="365"/>
        <v>12.25</v>
      </c>
      <c r="L294" s="452">
        <f t="shared" si="366"/>
        <v>54.25</v>
      </c>
      <c r="M294" s="452"/>
      <c r="N294" s="222">
        <f t="shared" si="367"/>
        <v>0.22580645161290322</v>
      </c>
      <c r="O294" s="177">
        <f t="shared" si="368"/>
        <v>11.36605459057072</v>
      </c>
      <c r="P294" s="177">
        <f t="shared" si="369"/>
        <v>11.543649193548385</v>
      </c>
      <c r="Q294" s="222">
        <f t="shared" si="370"/>
        <v>0.94717121588089326</v>
      </c>
      <c r="R294" s="222">
        <f t="shared" si="371"/>
        <v>0.94717121588089326</v>
      </c>
      <c r="S294" s="222">
        <f t="shared" si="372"/>
        <v>12</v>
      </c>
      <c r="T294" s="222">
        <f t="shared" si="373"/>
        <v>2.631836734693878</v>
      </c>
      <c r="U294" s="222">
        <f t="shared" si="374"/>
        <v>0.438639455782313</v>
      </c>
      <c r="V294" s="222">
        <f t="shared" si="375"/>
        <v>1.5039067055393589</v>
      </c>
      <c r="W294" s="202">
        <f t="shared" si="376"/>
        <v>350</v>
      </c>
      <c r="X294" s="452">
        <f t="shared" si="377"/>
        <v>350</v>
      </c>
      <c r="Z294" s="222">
        <f t="shared" si="378"/>
        <v>3.8709677419354835</v>
      </c>
      <c r="AA294" s="178">
        <f t="shared" si="379"/>
        <v>2.2119815668202762</v>
      </c>
      <c r="AB294" s="178">
        <f t="shared" si="380"/>
        <v>0.92211638517569838</v>
      </c>
      <c r="AC294" s="178"/>
      <c r="AD294" s="178">
        <f t="shared" si="381"/>
        <v>0.46857142857142853</v>
      </c>
      <c r="AE294" s="560">
        <f t="shared" si="382"/>
        <v>3164.7828673408699</v>
      </c>
      <c r="AF294" s="543">
        <f t="shared" si="383"/>
        <v>6.723999999999998E-2</v>
      </c>
      <c r="AH294" s="178">
        <f t="shared" si="384"/>
        <v>3.1110074488722743</v>
      </c>
      <c r="AI294" s="178">
        <f t="shared" si="385"/>
        <v>3.1110074488722743</v>
      </c>
      <c r="AJ294" s="178">
        <f t="shared" si="386"/>
        <v>2.8970425547202034</v>
      </c>
      <c r="AL294" s="560">
        <f t="shared" si="387"/>
        <v>608.00000000000011</v>
      </c>
      <c r="AM294" s="470">
        <f t="shared" si="388"/>
        <v>350</v>
      </c>
      <c r="AO294">
        <f t="shared" si="389"/>
        <v>608.00000000000011</v>
      </c>
      <c r="AP294">
        <f t="shared" si="390"/>
        <v>350</v>
      </c>
      <c r="AR294" s="6">
        <f t="shared" si="360"/>
        <v>2.8571428571428572</v>
      </c>
      <c r="AS294" s="6">
        <f t="shared" si="339"/>
        <v>0.51850124147871235</v>
      </c>
      <c r="AT294" s="6">
        <f t="shared" si="340"/>
        <v>2.338641615664145</v>
      </c>
      <c r="AU294" s="178">
        <f t="shared" si="341"/>
        <v>0.18147543451754933</v>
      </c>
      <c r="AW294" s="6">
        <f>L*Iout^2/(2*Vripple1_spec*Vout*Npri_sec1^2)*1000000000*((1+N294)/(1-N294))^2</f>
        <v>3.8996913580246928</v>
      </c>
      <c r="AX294" s="6">
        <f>L*F294^2/(2*Cout*Vout*Nps^2)*1000000000*((1+N294)/(1-N294))^2+F294*RCoutEsr</f>
        <v>7.5749661150512235</v>
      </c>
      <c r="AY294" s="6">
        <f>L*Iout2^2/(2*Vout_ripple2*Vout2*Npri_sec2^2)*1000000000*((1+N294)/(1-N294))^2</f>
        <v>1.5233169367283956</v>
      </c>
      <c r="AZ294" s="6">
        <f>L*G294^2/(2*Cout2*Vout2*Npri_sec2^2)*1000000000*((1+N294)/(1-N294))^2+G294*CoutEsr2</f>
        <v>3.386471138691884</v>
      </c>
      <c r="BA294" s="6">
        <f>(H294+I294)/Efficiency/J294*AT294/Vinripple1</f>
        <v>1.0294972614987137</v>
      </c>
      <c r="BB294" s="6"/>
      <c r="CE294" s="577">
        <f t="shared" si="391"/>
        <v>-50</v>
      </c>
    </row>
    <row r="295" spans="5:83" x14ac:dyDescent="0.2">
      <c r="E295" s="175">
        <v>77</v>
      </c>
      <c r="F295" s="222">
        <f t="shared" si="392"/>
        <v>0.6160000000000001</v>
      </c>
      <c r="G295" s="222">
        <f t="shared" si="361"/>
        <v>0.38500000000000001</v>
      </c>
      <c r="H295" s="222">
        <f t="shared" si="362"/>
        <v>7.3920000000000012</v>
      </c>
      <c r="I295" s="222">
        <f t="shared" si="363"/>
        <v>4.62</v>
      </c>
      <c r="J295" s="556">
        <f t="shared" si="364"/>
        <v>42</v>
      </c>
      <c r="K295" s="452">
        <f t="shared" si="365"/>
        <v>12.25</v>
      </c>
      <c r="L295" s="452">
        <f t="shared" si="366"/>
        <v>54.25</v>
      </c>
      <c r="M295" s="452"/>
      <c r="N295" s="222">
        <f t="shared" si="367"/>
        <v>0.22580645161290322</v>
      </c>
      <c r="O295" s="177">
        <f t="shared" si="368"/>
        <v>11.36605459057072</v>
      </c>
      <c r="P295" s="177">
        <f t="shared" si="369"/>
        <v>11.543649193548385</v>
      </c>
      <c r="Q295" s="222">
        <f t="shared" si="370"/>
        <v>0.94717121588089326</v>
      </c>
      <c r="R295" s="222">
        <f t="shared" si="371"/>
        <v>0.94717121588089326</v>
      </c>
      <c r="S295" s="222">
        <f t="shared" si="372"/>
        <v>12</v>
      </c>
      <c r="T295" s="222">
        <f t="shared" si="373"/>
        <v>2.6664661654135338</v>
      </c>
      <c r="U295" s="222">
        <f t="shared" si="374"/>
        <v>0.44441102756892231</v>
      </c>
      <c r="V295" s="222">
        <f t="shared" si="375"/>
        <v>1.5236949516648763</v>
      </c>
      <c r="W295" s="202">
        <f t="shared" si="376"/>
        <v>350</v>
      </c>
      <c r="X295" s="452">
        <f t="shared" si="377"/>
        <v>350</v>
      </c>
      <c r="Z295" s="222">
        <f t="shared" si="378"/>
        <v>3.8709677419354835</v>
      </c>
      <c r="AA295" s="178">
        <f t="shared" si="379"/>
        <v>2.2119815668202762</v>
      </c>
      <c r="AB295" s="178">
        <f t="shared" si="380"/>
        <v>0.92211638517569838</v>
      </c>
      <c r="AC295" s="178"/>
      <c r="AD295" s="178">
        <f t="shared" si="381"/>
        <v>0.46857142857142853</v>
      </c>
      <c r="AE295" s="560">
        <f t="shared" si="382"/>
        <v>3206.424747174302</v>
      </c>
      <c r="AF295" s="543">
        <f t="shared" si="383"/>
        <v>6.723999999999998E-2</v>
      </c>
      <c r="AH295" s="178">
        <f t="shared" si="384"/>
        <v>3.1314077163017733</v>
      </c>
      <c r="AI295" s="178">
        <f t="shared" si="385"/>
        <v>3.1314077163017733</v>
      </c>
      <c r="AJ295" s="178">
        <f t="shared" si="386"/>
        <v>2.9121538639272395</v>
      </c>
      <c r="AL295" s="560">
        <f t="shared" si="387"/>
        <v>616.00000000000011</v>
      </c>
      <c r="AM295" s="470">
        <f t="shared" si="388"/>
        <v>350</v>
      </c>
      <c r="AO295">
        <f t="shared" si="389"/>
        <v>616.00000000000011</v>
      </c>
      <c r="AP295">
        <f t="shared" si="390"/>
        <v>350</v>
      </c>
      <c r="AR295" s="6">
        <f t="shared" si="360"/>
        <v>2.8571428571428572</v>
      </c>
      <c r="AS295" s="6">
        <f t="shared" si="339"/>
        <v>0.52190128605029562</v>
      </c>
      <c r="AT295" s="6">
        <f t="shared" si="340"/>
        <v>2.3352415710925616</v>
      </c>
      <c r="AU295" s="178">
        <f t="shared" si="341"/>
        <v>0.18266545011760346</v>
      </c>
      <c r="AW295" s="6">
        <f>L*Iout^2/(2*Vripple1_spec*Vout*Npri_sec1^2)*1000000000*((1+N295)/(1-N295))^2</f>
        <v>3.8996913580246928</v>
      </c>
      <c r="AX295" s="6">
        <f>L*F295^2/(2*Cout*Vout*Nps^2)*1000000000*((1+N295)/(1-N295))^2+F295*RCoutEsr</f>
        <v>7.751302994483849</v>
      </c>
      <c r="AY295" s="6">
        <f>L*Iout2^2/(2*Vout_ripple2*Vout2*Npri_sec2^2)*1000000000*((1+N295)/(1-N295))^2</f>
        <v>1.5233169367283956</v>
      </c>
      <c r="AZ295" s="6">
        <f>L*G295^2/(2*Cout2*Vout2*Npri_sec2^2)*1000000000*((1+N295)/(1-N295))^2+G295*CoutEsr2</f>
        <v>3.4609777322202531</v>
      </c>
      <c r="BA295" s="6">
        <f>(H295+I295)/Efficiency/J295*AT295/Vinripple1</f>
        <v>1.0415268449629203</v>
      </c>
      <c r="BB295" s="6"/>
      <c r="CE295" s="577">
        <f t="shared" si="391"/>
        <v>-50</v>
      </c>
    </row>
    <row r="296" spans="5:83" x14ac:dyDescent="0.2">
      <c r="E296" s="175">
        <v>78</v>
      </c>
      <c r="F296" s="222">
        <f t="shared" si="392"/>
        <v>0.62400000000000011</v>
      </c>
      <c r="G296" s="222">
        <f t="shared" si="361"/>
        <v>0.39</v>
      </c>
      <c r="H296" s="222">
        <f t="shared" si="362"/>
        <v>7.4880000000000013</v>
      </c>
      <c r="I296" s="222">
        <f t="shared" si="363"/>
        <v>4.68</v>
      </c>
      <c r="J296" s="556">
        <f t="shared" si="364"/>
        <v>42</v>
      </c>
      <c r="K296" s="452">
        <f t="shared" si="365"/>
        <v>12.25</v>
      </c>
      <c r="L296" s="452">
        <f t="shared" si="366"/>
        <v>54.25</v>
      </c>
      <c r="M296" s="452"/>
      <c r="N296" s="222">
        <f t="shared" si="367"/>
        <v>0.22580645161290322</v>
      </c>
      <c r="O296" s="177">
        <f t="shared" si="368"/>
        <v>11.36605459057072</v>
      </c>
      <c r="P296" s="177">
        <f t="shared" si="369"/>
        <v>11.543649193548385</v>
      </c>
      <c r="Q296" s="222">
        <f t="shared" si="370"/>
        <v>0.94717121588089326</v>
      </c>
      <c r="R296" s="222">
        <f t="shared" si="371"/>
        <v>0.94717121588089326</v>
      </c>
      <c r="S296" s="222">
        <f t="shared" si="372"/>
        <v>12</v>
      </c>
      <c r="T296" s="222">
        <f t="shared" si="373"/>
        <v>2.7010955961331904</v>
      </c>
      <c r="U296" s="222">
        <f t="shared" si="374"/>
        <v>0.45018259935553179</v>
      </c>
      <c r="V296" s="222">
        <f t="shared" si="375"/>
        <v>1.5434831977903947</v>
      </c>
      <c r="W296" s="202">
        <f t="shared" si="376"/>
        <v>350</v>
      </c>
      <c r="X296" s="452">
        <f t="shared" si="377"/>
        <v>350</v>
      </c>
      <c r="Z296" s="222">
        <f t="shared" si="378"/>
        <v>3.8709677419354835</v>
      </c>
      <c r="AA296" s="178">
        <f t="shared" si="379"/>
        <v>2.2119815668202762</v>
      </c>
      <c r="AB296" s="178">
        <f t="shared" si="380"/>
        <v>0.92211638517569838</v>
      </c>
      <c r="AC296" s="178"/>
      <c r="AD296" s="178">
        <f t="shared" si="381"/>
        <v>0.46857142857142853</v>
      </c>
      <c r="AE296" s="560">
        <f t="shared" si="382"/>
        <v>3248.0666270077345</v>
      </c>
      <c r="AF296" s="543">
        <f t="shared" si="383"/>
        <v>6.723999999999998E-2</v>
      </c>
      <c r="AH296" s="178">
        <f t="shared" si="384"/>
        <v>3.1516759390028977</v>
      </c>
      <c r="AI296" s="178">
        <f t="shared" si="385"/>
        <v>3.1516759390028977</v>
      </c>
      <c r="AJ296" s="178">
        <f t="shared" si="386"/>
        <v>2.9271673622243686</v>
      </c>
      <c r="AL296" s="560">
        <f t="shared" si="387"/>
        <v>624.00000000000011</v>
      </c>
      <c r="AM296" s="470">
        <f t="shared" si="388"/>
        <v>350</v>
      </c>
      <c r="AO296">
        <f t="shared" si="389"/>
        <v>624.00000000000011</v>
      </c>
      <c r="AP296">
        <f t="shared" si="390"/>
        <v>350</v>
      </c>
      <c r="AR296" s="6">
        <f t="shared" si="360"/>
        <v>2.8571428571428572</v>
      </c>
      <c r="AS296" s="6">
        <f t="shared" si="339"/>
        <v>0.52527932316714965</v>
      </c>
      <c r="AT296" s="6">
        <f t="shared" si="340"/>
        <v>2.3318635339757074</v>
      </c>
      <c r="AU296" s="178">
        <f t="shared" si="341"/>
        <v>0.18384776310850237</v>
      </c>
      <c r="AW296" s="6">
        <f>L*Iout^2/(2*Vripple1_spec*Vout*Npri_sec1^2)*1000000000*((1+N296)/(1-N296))^2</f>
        <v>3.8996913580246928</v>
      </c>
      <c r="AX296" s="6">
        <f>L*F296^2/(2*Cout*Vout*Nps^2)*1000000000*((1+N296)/(1-N296))^2+F296*RCoutEsr</f>
        <v>7.929631205673763</v>
      </c>
      <c r="AY296" s="6">
        <f>L*Iout2^2/(2*Vout_ripple2*Vout2*Npri_sec2^2)*1000000000*((1+N296)/(1-N296))^2</f>
        <v>1.5233169367283956</v>
      </c>
      <c r="AZ296" s="6">
        <f>L*G296^2/(2*Cout2*Vout2*Npri_sec2^2)*1000000000*((1+N296)/(1-N296))^2+G296*CoutEsr2</f>
        <v>3.5362621897163131</v>
      </c>
      <c r="BA296" s="6">
        <f>(H296+I296)/Efficiency/J296*AT296/Vinripple1</f>
        <v>1.0535269834369778</v>
      </c>
      <c r="BB296" s="6"/>
      <c r="CE296" s="577">
        <f t="shared" si="391"/>
        <v>-50</v>
      </c>
    </row>
    <row r="297" spans="5:83" x14ac:dyDescent="0.2">
      <c r="E297" s="175">
        <v>79</v>
      </c>
      <c r="F297" s="222">
        <f t="shared" si="392"/>
        <v>0.63200000000000012</v>
      </c>
      <c r="G297" s="222">
        <f t="shared" si="361"/>
        <v>0.39500000000000002</v>
      </c>
      <c r="H297" s="222">
        <f t="shared" si="362"/>
        <v>7.5840000000000014</v>
      </c>
      <c r="I297" s="222">
        <f t="shared" si="363"/>
        <v>4.74</v>
      </c>
      <c r="J297" s="556">
        <f t="shared" si="364"/>
        <v>42</v>
      </c>
      <c r="K297" s="452">
        <f t="shared" si="365"/>
        <v>12.25</v>
      </c>
      <c r="L297" s="452">
        <f t="shared" si="366"/>
        <v>54.25</v>
      </c>
      <c r="M297" s="452"/>
      <c r="N297" s="222">
        <f t="shared" si="367"/>
        <v>0.22580645161290322</v>
      </c>
      <c r="O297" s="177">
        <f t="shared" si="368"/>
        <v>11.36605459057072</v>
      </c>
      <c r="P297" s="177">
        <f t="shared" si="369"/>
        <v>11.543649193548385</v>
      </c>
      <c r="Q297" s="222">
        <f t="shared" si="370"/>
        <v>0.94717121588089326</v>
      </c>
      <c r="R297" s="222">
        <f t="shared" si="371"/>
        <v>0.94717121588089326</v>
      </c>
      <c r="S297" s="222">
        <f t="shared" si="372"/>
        <v>12</v>
      </c>
      <c r="T297" s="222">
        <f t="shared" si="373"/>
        <v>2.7357250268528466</v>
      </c>
      <c r="U297" s="222">
        <f t="shared" si="374"/>
        <v>0.4559541711421411</v>
      </c>
      <c r="V297" s="222">
        <f t="shared" si="375"/>
        <v>1.5632714439159123</v>
      </c>
      <c r="W297" s="202">
        <f t="shared" si="376"/>
        <v>350</v>
      </c>
      <c r="X297" s="452">
        <f t="shared" si="377"/>
        <v>350</v>
      </c>
      <c r="Z297" s="222">
        <f t="shared" si="378"/>
        <v>3.8709677419354835</v>
      </c>
      <c r="AA297" s="178">
        <f t="shared" si="379"/>
        <v>2.2119815668202762</v>
      </c>
      <c r="AB297" s="178">
        <f t="shared" si="380"/>
        <v>0.92211638517569838</v>
      </c>
      <c r="AC297" s="178"/>
      <c r="AD297" s="178">
        <f t="shared" si="381"/>
        <v>0.46857142857142853</v>
      </c>
      <c r="AE297" s="560">
        <f t="shared" si="382"/>
        <v>3289.7085068411675</v>
      </c>
      <c r="AF297" s="543">
        <f t="shared" si="383"/>
        <v>6.723999999999998E-2</v>
      </c>
      <c r="AH297" s="178">
        <f t="shared" si="384"/>
        <v>3.1718146483149527</v>
      </c>
      <c r="AI297" s="178">
        <f t="shared" si="385"/>
        <v>3.1718146483149527</v>
      </c>
      <c r="AJ297" s="178">
        <f t="shared" si="386"/>
        <v>2.9420849246777427</v>
      </c>
      <c r="AL297" s="560">
        <f t="shared" si="387"/>
        <v>632.00000000000011</v>
      </c>
      <c r="AM297" s="470">
        <f t="shared" si="388"/>
        <v>350</v>
      </c>
      <c r="AO297">
        <f t="shared" si="389"/>
        <v>632.00000000000011</v>
      </c>
      <c r="AP297">
        <f t="shared" si="390"/>
        <v>350</v>
      </c>
      <c r="AR297" s="6">
        <f t="shared" si="360"/>
        <v>2.8571428571428572</v>
      </c>
      <c r="AS297" s="6">
        <f t="shared" si="339"/>
        <v>0.52863577471915879</v>
      </c>
      <c r="AT297" s="6">
        <f t="shared" si="340"/>
        <v>2.3285070824236982</v>
      </c>
      <c r="AU297" s="178">
        <f t="shared" si="341"/>
        <v>0.18502252115170556</v>
      </c>
      <c r="AW297" s="6">
        <f>L*Iout^2/(2*Vripple1_spec*Vout*Npri_sec1^2)*1000000000*((1+N297)/(1-N297))^2</f>
        <v>3.8996913580246928</v>
      </c>
      <c r="AX297" s="6">
        <f>L*F297^2/(2*Cout*Vout*Nps^2)*1000000000*((1+N297)/(1-N297))^2+F297*RCoutEsr</f>
        <v>8.1099507486209657</v>
      </c>
      <c r="AY297" s="6">
        <f>L*Iout2^2/(2*Vout_ripple2*Vout2*Npri_sec2^2)*1000000000*((1+N297)/(1-N297))^2</f>
        <v>1.5233169367283956</v>
      </c>
      <c r="AZ297" s="6">
        <f>L*G297^2/(2*Cout2*Vout2*Npri_sec2^2)*1000000000*((1+N297)/(1-N297))^2+G297*CoutEsr2</f>
        <v>3.6123245111800641</v>
      </c>
      <c r="BA297" s="6">
        <f>(H297+I297)/Efficiency/J297*AT297/Vinripple1</f>
        <v>1.065497866287558</v>
      </c>
      <c r="BB297" s="6"/>
      <c r="CE297" s="577">
        <f t="shared" si="391"/>
        <v>-50</v>
      </c>
    </row>
    <row r="298" spans="5:83" x14ac:dyDescent="0.2">
      <c r="E298" s="175">
        <v>80</v>
      </c>
      <c r="F298" s="222">
        <f t="shared" si="392"/>
        <v>0.64000000000000012</v>
      </c>
      <c r="G298" s="222">
        <f t="shared" si="361"/>
        <v>0.4</v>
      </c>
      <c r="H298" s="222">
        <f t="shared" si="362"/>
        <v>7.6800000000000015</v>
      </c>
      <c r="I298" s="222">
        <f t="shared" si="363"/>
        <v>4.8000000000000007</v>
      </c>
      <c r="J298" s="556">
        <f t="shared" si="364"/>
        <v>42</v>
      </c>
      <c r="K298" s="452">
        <f t="shared" si="365"/>
        <v>12.25</v>
      </c>
      <c r="L298" s="452">
        <f t="shared" si="366"/>
        <v>54.25</v>
      </c>
      <c r="M298" s="452"/>
      <c r="N298" s="222">
        <f t="shared" si="367"/>
        <v>0.22580645161290322</v>
      </c>
      <c r="O298" s="177">
        <f t="shared" si="368"/>
        <v>11.36605459057072</v>
      </c>
      <c r="P298" s="177">
        <f t="shared" si="369"/>
        <v>11.543649193548385</v>
      </c>
      <c r="Q298" s="222">
        <f t="shared" si="370"/>
        <v>0.94717121588089326</v>
      </c>
      <c r="R298" s="222">
        <f t="shared" si="371"/>
        <v>0.94717121588089326</v>
      </c>
      <c r="S298" s="222">
        <f t="shared" si="372"/>
        <v>12</v>
      </c>
      <c r="T298" s="222">
        <f t="shared" si="373"/>
        <v>2.7703544575725032</v>
      </c>
      <c r="U298" s="222">
        <f t="shared" si="374"/>
        <v>0.46172574292875052</v>
      </c>
      <c r="V298" s="222">
        <f t="shared" si="375"/>
        <v>1.5830596900414302</v>
      </c>
      <c r="W298" s="202">
        <f t="shared" si="376"/>
        <v>350</v>
      </c>
      <c r="X298" s="452">
        <f t="shared" si="377"/>
        <v>350</v>
      </c>
      <c r="Z298" s="222">
        <f t="shared" si="378"/>
        <v>3.8709677419354835</v>
      </c>
      <c r="AA298" s="178">
        <f t="shared" si="379"/>
        <v>2.2119815668202762</v>
      </c>
      <c r="AB298" s="178">
        <f t="shared" si="380"/>
        <v>0.92211638517569838</v>
      </c>
      <c r="AC298" s="178"/>
      <c r="AD298" s="178">
        <f t="shared" si="381"/>
        <v>0.46857142857142853</v>
      </c>
      <c r="AE298" s="560">
        <f t="shared" si="382"/>
        <v>3331.3503866745996</v>
      </c>
      <c r="AF298" s="543">
        <f t="shared" si="383"/>
        <v>6.723999999999998E-2</v>
      </c>
      <c r="AH298" s="178">
        <f t="shared" si="384"/>
        <v>3.1918262957186152</v>
      </c>
      <c r="AI298" s="178">
        <f t="shared" si="385"/>
        <v>3.1918262957186152</v>
      </c>
      <c r="AJ298" s="178">
        <f t="shared" si="386"/>
        <v>2.9569083671989742</v>
      </c>
      <c r="AL298" s="560">
        <f t="shared" si="387"/>
        <v>640.00000000000011</v>
      </c>
      <c r="AM298" s="470">
        <f t="shared" si="388"/>
        <v>350</v>
      </c>
      <c r="AO298">
        <f t="shared" si="389"/>
        <v>640.00000000000011</v>
      </c>
      <c r="AP298">
        <f t="shared" si="390"/>
        <v>350</v>
      </c>
      <c r="AR298" s="6">
        <f t="shared" si="360"/>
        <v>2.8571428571428572</v>
      </c>
      <c r="AS298" s="6">
        <f t="shared" si="339"/>
        <v>0.5319710492864359</v>
      </c>
      <c r="AT298" s="6">
        <f t="shared" si="340"/>
        <v>2.3251718078564214</v>
      </c>
      <c r="AU298" s="178">
        <f t="shared" si="341"/>
        <v>0.18618986725025255</v>
      </c>
      <c r="AW298" s="6">
        <f>L*Iout^2/(2*Vripple1_spec*Vout*Npri_sec1^2)*1000000000*((1+N298)/(1-N298))^2</f>
        <v>3.8996913580246928</v>
      </c>
      <c r="AX298" s="6">
        <f>L*F298^2/(2*Cout*Vout*Nps^2)*1000000000*((1+N298)/(1-N298))^2+F298*RCoutEsr</f>
        <v>8.2922616233254569</v>
      </c>
      <c r="AY298" s="6">
        <f>L*Iout2^2/(2*Vout_ripple2*Vout2*Npri_sec2^2)*1000000000*((1+N298)/(1-N298))^2</f>
        <v>1.5233169367283956</v>
      </c>
      <c r="AZ298" s="6">
        <f>L*G298^2/(2*Cout2*Vout2*Npri_sec2^2)*1000000000*((1+N298)/(1-N298))^2+G298*CoutEsr2</f>
        <v>3.6891646966115066</v>
      </c>
      <c r="BA298" s="6">
        <f>(H298+I298)/Efficiency/J298*AT298/Vinripple1</f>
        <v>1.0774396792740422</v>
      </c>
      <c r="BB298" s="6"/>
      <c r="CE298" s="577">
        <f t="shared" si="391"/>
        <v>-50</v>
      </c>
    </row>
    <row r="299" spans="5:83" x14ac:dyDescent="0.2">
      <c r="E299" s="175">
        <v>81</v>
      </c>
      <c r="F299" s="222">
        <f t="shared" si="392"/>
        <v>0.64800000000000013</v>
      </c>
      <c r="G299" s="222">
        <f t="shared" si="361"/>
        <v>0.40500000000000003</v>
      </c>
      <c r="H299" s="222">
        <f t="shared" si="362"/>
        <v>7.7760000000000016</v>
      </c>
      <c r="I299" s="222">
        <f t="shared" si="363"/>
        <v>4.8600000000000003</v>
      </c>
      <c r="J299" s="556">
        <f t="shared" si="364"/>
        <v>42</v>
      </c>
      <c r="K299" s="452">
        <f t="shared" si="365"/>
        <v>12.25</v>
      </c>
      <c r="L299" s="452">
        <f t="shared" si="366"/>
        <v>54.25</v>
      </c>
      <c r="M299" s="452"/>
      <c r="N299" s="222">
        <f t="shared" si="367"/>
        <v>0.22580645161290322</v>
      </c>
      <c r="O299" s="177">
        <f t="shared" si="368"/>
        <v>11.36605459057072</v>
      </c>
      <c r="P299" s="177">
        <f t="shared" si="369"/>
        <v>11.543649193548385</v>
      </c>
      <c r="Q299" s="222">
        <f t="shared" si="370"/>
        <v>0.94717121588089326</v>
      </c>
      <c r="R299" s="222">
        <f t="shared" si="371"/>
        <v>0.94717121588089326</v>
      </c>
      <c r="S299" s="222">
        <f t="shared" si="372"/>
        <v>12</v>
      </c>
      <c r="T299" s="222">
        <f t="shared" si="373"/>
        <v>2.8049838882921594</v>
      </c>
      <c r="U299" s="222">
        <f t="shared" si="374"/>
        <v>0.46749731471535994</v>
      </c>
      <c r="V299" s="222">
        <f t="shared" si="375"/>
        <v>1.6028479361669483</v>
      </c>
      <c r="W299" s="202">
        <f t="shared" si="376"/>
        <v>350</v>
      </c>
      <c r="X299" s="452">
        <f t="shared" si="377"/>
        <v>350</v>
      </c>
      <c r="Z299" s="222">
        <f t="shared" si="378"/>
        <v>3.8709677419354835</v>
      </c>
      <c r="AA299" s="178">
        <f t="shared" si="379"/>
        <v>2.2119815668202762</v>
      </c>
      <c r="AB299" s="178">
        <f t="shared" si="380"/>
        <v>0.92211638517569838</v>
      </c>
      <c r="AC299" s="178"/>
      <c r="AD299" s="178">
        <f t="shared" si="381"/>
        <v>0.46857142857142853</v>
      </c>
      <c r="AE299" s="560">
        <f t="shared" si="382"/>
        <v>3372.9922665080321</v>
      </c>
      <c r="AF299" s="543">
        <f t="shared" si="383"/>
        <v>6.723999999999998E-2</v>
      </c>
      <c r="AH299" s="178">
        <f t="shared" si="384"/>
        <v>3.2117132563191766</v>
      </c>
      <c r="AI299" s="178">
        <f t="shared" si="385"/>
        <v>3.2117132563191766</v>
      </c>
      <c r="AJ299" s="178">
        <f t="shared" si="386"/>
        <v>2.9716394491253162</v>
      </c>
      <c r="AL299" s="560">
        <f t="shared" si="387"/>
        <v>648.00000000000011</v>
      </c>
      <c r="AM299" s="470">
        <f t="shared" si="388"/>
        <v>350</v>
      </c>
      <c r="AO299">
        <f t="shared" si="389"/>
        <v>648.00000000000011</v>
      </c>
      <c r="AP299">
        <f t="shared" si="390"/>
        <v>350</v>
      </c>
      <c r="AR299" s="6">
        <f t="shared" si="360"/>
        <v>2.8571428571428572</v>
      </c>
      <c r="AS299" s="6">
        <f t="shared" si="339"/>
        <v>0.53528554271986273</v>
      </c>
      <c r="AT299" s="6">
        <f t="shared" si="340"/>
        <v>2.3218573144229944</v>
      </c>
      <c r="AU299" s="178">
        <f t="shared" si="341"/>
        <v>0.18734993995195195</v>
      </c>
      <c r="AW299" s="6">
        <f>L*Iout^2/(2*Vripple1_spec*Vout*Npri_sec1^2)*1000000000*((1+N299)/(1-N299))^2</f>
        <v>3.8996913580246928</v>
      </c>
      <c r="AX299" s="6">
        <f>L*F299^2/(2*Cout*Vout*Nps^2)*1000000000*((1+N299)/(1-N299))^2+F299*RCoutEsr</f>
        <v>8.4765638297872403</v>
      </c>
      <c r="AY299" s="6">
        <f>L*Iout2^2/(2*Vout_ripple2*Vout2*Npri_sec2^2)*1000000000*((1+N299)/(1-N299))^2</f>
        <v>1.5233169367283956</v>
      </c>
      <c r="AZ299" s="6">
        <f>L*G299^2/(2*Cout2*Vout2*Npri_sec2^2)*1000000000*((1+N299)/(1-N299))^2+G299*CoutEsr2</f>
        <v>3.7667827460106391</v>
      </c>
      <c r="BA299" s="6">
        <f>(H299+I299)/Efficiency/J299*AT299/Vinripple1</f>
        <v>1.0893526046616158</v>
      </c>
      <c r="BB299" s="6"/>
      <c r="CE299" s="577">
        <f t="shared" si="391"/>
        <v>-50</v>
      </c>
    </row>
    <row r="300" spans="5:83" x14ac:dyDescent="0.2">
      <c r="E300" s="175">
        <v>82</v>
      </c>
      <c r="F300" s="222">
        <f t="shared" si="392"/>
        <v>0.65600000000000003</v>
      </c>
      <c r="G300" s="222">
        <f t="shared" si="361"/>
        <v>0.41</v>
      </c>
      <c r="H300" s="222">
        <f t="shared" si="362"/>
        <v>7.8719999999999999</v>
      </c>
      <c r="I300" s="222">
        <f t="shared" si="363"/>
        <v>4.92</v>
      </c>
      <c r="J300" s="556">
        <f t="shared" si="364"/>
        <v>42</v>
      </c>
      <c r="K300" s="452">
        <f t="shared" si="365"/>
        <v>12.25</v>
      </c>
      <c r="L300" s="452">
        <f t="shared" si="366"/>
        <v>54.25</v>
      </c>
      <c r="M300" s="452"/>
      <c r="N300" s="222">
        <f t="shared" si="367"/>
        <v>0.22580645161290322</v>
      </c>
      <c r="O300" s="177">
        <f t="shared" si="368"/>
        <v>11.36605459057072</v>
      </c>
      <c r="P300" s="177">
        <f t="shared" si="369"/>
        <v>11.543649193548385</v>
      </c>
      <c r="Q300" s="222">
        <f t="shared" si="370"/>
        <v>0.94717121588089326</v>
      </c>
      <c r="R300" s="222">
        <f t="shared" si="371"/>
        <v>0.94717121588089326</v>
      </c>
      <c r="S300" s="222">
        <f t="shared" si="372"/>
        <v>12</v>
      </c>
      <c r="T300" s="222">
        <f t="shared" si="373"/>
        <v>2.8396133190118151</v>
      </c>
      <c r="U300" s="222">
        <f t="shared" si="374"/>
        <v>0.47326888650196919</v>
      </c>
      <c r="V300" s="222">
        <f t="shared" si="375"/>
        <v>1.6226361822924658</v>
      </c>
      <c r="W300" s="202">
        <f t="shared" si="376"/>
        <v>350</v>
      </c>
      <c r="X300" s="452">
        <f t="shared" si="377"/>
        <v>350</v>
      </c>
      <c r="Z300" s="222">
        <f t="shared" si="378"/>
        <v>3.8709677419354835</v>
      </c>
      <c r="AA300" s="178">
        <f t="shared" si="379"/>
        <v>2.2119815668202762</v>
      </c>
      <c r="AB300" s="178">
        <f t="shared" si="380"/>
        <v>0.92211638517569838</v>
      </c>
      <c r="AC300" s="178"/>
      <c r="AD300" s="178">
        <f t="shared" si="381"/>
        <v>0.46857142857142853</v>
      </c>
      <c r="AE300" s="560">
        <f t="shared" si="382"/>
        <v>3414.6341463414642</v>
      </c>
      <c r="AF300" s="543">
        <f t="shared" si="383"/>
        <v>6.723999999999998E-2</v>
      </c>
      <c r="AH300" s="178">
        <f t="shared" si="384"/>
        <v>3.2314778321368438</v>
      </c>
      <c r="AI300" s="178">
        <f t="shared" si="385"/>
        <v>3.2314778321368438</v>
      </c>
      <c r="AJ300" s="178">
        <f t="shared" si="386"/>
        <v>2.9862798756569213</v>
      </c>
      <c r="AL300" s="560">
        <f t="shared" si="387"/>
        <v>656</v>
      </c>
      <c r="AM300" s="470">
        <f t="shared" si="388"/>
        <v>350</v>
      </c>
      <c r="AO300">
        <f t="shared" si="389"/>
        <v>656</v>
      </c>
      <c r="AP300">
        <f t="shared" si="390"/>
        <v>350</v>
      </c>
      <c r="AR300" s="6">
        <f t="shared" si="360"/>
        <v>2.8571428571428572</v>
      </c>
      <c r="AS300" s="6">
        <f t="shared" si="339"/>
        <v>0.53857963868947401</v>
      </c>
      <c r="AT300" s="6">
        <f t="shared" si="340"/>
        <v>2.3185632184533831</v>
      </c>
      <c r="AU300" s="178">
        <f t="shared" si="341"/>
        <v>0.1885028735413159</v>
      </c>
      <c r="AW300" s="6">
        <f>L*Iout^2/(2*Vripple1_spec*Vout*Npri_sec1^2)*1000000000*((1+N300)/(1-N300))^2</f>
        <v>3.8996913580246928</v>
      </c>
      <c r="AX300" s="6">
        <f>L*F300^2/(2*Cout*Vout*Nps^2)*1000000000*((1+N300)/(1-N300))^2+F300*RCoutEsr</f>
        <v>8.662857368006307</v>
      </c>
      <c r="AY300" s="6">
        <f>L*Iout2^2/(2*Vout_ripple2*Vout2*Npri_sec2^2)*1000000000*((1+N300)/(1-N300))^2</f>
        <v>1.5233169367283956</v>
      </c>
      <c r="AZ300" s="6">
        <f>L*G300^2/(2*Cout2*Vout2*Npri_sec2^2)*1000000000*((1+N300)/(1-N300))^2+G300*CoutEsr2</f>
        <v>3.8451786593774635</v>
      </c>
      <c r="BA300" s="6">
        <f>(H300+I300)/Efficiency/J300*AT300/Vinripple1</f>
        <v>1.1012368213294597</v>
      </c>
      <c r="BB300" s="6"/>
      <c r="CE300" s="577">
        <f t="shared" si="391"/>
        <v>-50</v>
      </c>
    </row>
    <row r="301" spans="5:83" x14ac:dyDescent="0.2">
      <c r="E301" s="175">
        <v>83</v>
      </c>
      <c r="F301" s="222">
        <f t="shared" si="392"/>
        <v>0.66400000000000003</v>
      </c>
      <c r="G301" s="222">
        <f t="shared" si="361"/>
        <v>0.41499999999999998</v>
      </c>
      <c r="H301" s="222">
        <f t="shared" si="362"/>
        <v>7.968</v>
      </c>
      <c r="I301" s="222">
        <f t="shared" si="363"/>
        <v>4.9799999999999995</v>
      </c>
      <c r="J301" s="556">
        <f t="shared" si="364"/>
        <v>42</v>
      </c>
      <c r="K301" s="452">
        <f t="shared" si="365"/>
        <v>12.25</v>
      </c>
      <c r="L301" s="452">
        <f t="shared" si="366"/>
        <v>54.25</v>
      </c>
      <c r="M301" s="452"/>
      <c r="N301" s="222">
        <f t="shared" si="367"/>
        <v>0.22580645161290322</v>
      </c>
      <c r="O301" s="177">
        <f t="shared" si="368"/>
        <v>11.36605459057072</v>
      </c>
      <c r="P301" s="177">
        <f t="shared" si="369"/>
        <v>11.543649193548385</v>
      </c>
      <c r="Q301" s="222">
        <f t="shared" si="370"/>
        <v>0.94717121588089326</v>
      </c>
      <c r="R301" s="222">
        <f t="shared" si="371"/>
        <v>0.94717121588089326</v>
      </c>
      <c r="S301" s="222">
        <f t="shared" si="372"/>
        <v>12</v>
      </c>
      <c r="T301" s="222">
        <f t="shared" si="373"/>
        <v>2.8742427497314718</v>
      </c>
      <c r="U301" s="222">
        <f t="shared" si="374"/>
        <v>0.47904045828857861</v>
      </c>
      <c r="V301" s="222">
        <f t="shared" si="375"/>
        <v>1.6424244284179836</v>
      </c>
      <c r="W301" s="202">
        <f t="shared" si="376"/>
        <v>350</v>
      </c>
      <c r="X301" s="452">
        <f t="shared" si="377"/>
        <v>350</v>
      </c>
      <c r="Z301" s="222">
        <f t="shared" si="378"/>
        <v>3.8709677419354835</v>
      </c>
      <c r="AA301" s="178">
        <f t="shared" si="379"/>
        <v>2.2119815668202762</v>
      </c>
      <c r="AB301" s="178">
        <f t="shared" si="380"/>
        <v>0.92211638517569838</v>
      </c>
      <c r="AC301" s="178"/>
      <c r="AD301" s="178">
        <f t="shared" si="381"/>
        <v>0.46857142857142853</v>
      </c>
      <c r="AE301" s="560">
        <f t="shared" si="382"/>
        <v>3456.2760261748967</v>
      </c>
      <c r="AF301" s="543">
        <f t="shared" si="383"/>
        <v>6.723999999999998E-2</v>
      </c>
      <c r="AH301" s="178">
        <f t="shared" si="384"/>
        <v>3.2511222552170111</v>
      </c>
      <c r="AI301" s="178">
        <f t="shared" si="385"/>
        <v>3.2511222552170111</v>
      </c>
      <c r="AJ301" s="178">
        <f t="shared" si="386"/>
        <v>3.0008313001607494</v>
      </c>
      <c r="AL301" s="560">
        <f t="shared" si="387"/>
        <v>664</v>
      </c>
      <c r="AM301" s="470">
        <f t="shared" si="388"/>
        <v>350</v>
      </c>
      <c r="AO301">
        <f t="shared" si="389"/>
        <v>664</v>
      </c>
      <c r="AP301">
        <f t="shared" si="390"/>
        <v>350</v>
      </c>
      <c r="AR301" s="6">
        <f t="shared" si="360"/>
        <v>2.8571428571428572</v>
      </c>
      <c r="AS301" s="6">
        <f t="shared" si="339"/>
        <v>0.54185370920283527</v>
      </c>
      <c r="AT301" s="6">
        <f t="shared" si="340"/>
        <v>2.3152891479400219</v>
      </c>
      <c r="AU301" s="178">
        <f t="shared" si="341"/>
        <v>0.18964879822099234</v>
      </c>
      <c r="AW301" s="6">
        <f>L*Iout^2/(2*Vripple1_spec*Vout*Npri_sec1^2)*1000000000*((1+N301)/(1-N301))^2</f>
        <v>3.8996913580246928</v>
      </c>
      <c r="AX301" s="6">
        <f>L*F301^2/(2*Cout*Vout*Nps^2)*1000000000*((1+N301)/(1-N301))^2+F301*RCoutEsr</f>
        <v>8.8511422379826659</v>
      </c>
      <c r="AY301" s="6">
        <f>L*Iout2^2/(2*Vout_ripple2*Vout2*Npri_sec2^2)*1000000000*((1+N301)/(1-N301))^2</f>
        <v>1.5233169367283956</v>
      </c>
      <c r="AZ301" s="6">
        <f>L*G301^2/(2*Cout2*Vout2*Npri_sec2^2)*1000000000*((1+N301)/(1-N301))^2+G301*CoutEsr2</f>
        <v>3.9243524367119784</v>
      </c>
      <c r="BA301" s="6">
        <f>(H301+I301)/Efficiency/J301*AT301/Vinripple1</f>
        <v>1.1130925048743119</v>
      </c>
      <c r="BB301" s="6"/>
      <c r="CE301" s="577">
        <f t="shared" si="391"/>
        <v>-50</v>
      </c>
    </row>
    <row r="302" spans="5:83" x14ac:dyDescent="0.2">
      <c r="E302" s="175">
        <v>84</v>
      </c>
      <c r="F302" s="222">
        <f t="shared" si="392"/>
        <v>0.67200000000000004</v>
      </c>
      <c r="G302" s="222">
        <f t="shared" si="361"/>
        <v>0.42</v>
      </c>
      <c r="H302" s="222">
        <f t="shared" si="362"/>
        <v>8.0640000000000001</v>
      </c>
      <c r="I302" s="222">
        <f t="shared" si="363"/>
        <v>5.04</v>
      </c>
      <c r="J302" s="556">
        <f t="shared" si="364"/>
        <v>42</v>
      </c>
      <c r="K302" s="452">
        <f t="shared" si="365"/>
        <v>12.25</v>
      </c>
      <c r="L302" s="452">
        <f t="shared" si="366"/>
        <v>54.25</v>
      </c>
      <c r="M302" s="452"/>
      <c r="N302" s="222">
        <f t="shared" si="367"/>
        <v>0.22580645161290322</v>
      </c>
      <c r="O302" s="177">
        <f t="shared" si="368"/>
        <v>11.36605459057072</v>
      </c>
      <c r="P302" s="177">
        <f t="shared" si="369"/>
        <v>11.543649193548385</v>
      </c>
      <c r="Q302" s="222">
        <f t="shared" si="370"/>
        <v>0.94717121588089326</v>
      </c>
      <c r="R302" s="222">
        <f t="shared" si="371"/>
        <v>0.94717121588089326</v>
      </c>
      <c r="S302" s="222">
        <f t="shared" si="372"/>
        <v>12</v>
      </c>
      <c r="T302" s="222">
        <f t="shared" si="373"/>
        <v>2.9088721804511275</v>
      </c>
      <c r="U302" s="222">
        <f t="shared" si="374"/>
        <v>0.48481203007518797</v>
      </c>
      <c r="V302" s="222">
        <f t="shared" si="375"/>
        <v>1.6622126745435013</v>
      </c>
      <c r="W302" s="202">
        <f t="shared" si="376"/>
        <v>350</v>
      </c>
      <c r="X302" s="452">
        <f t="shared" si="377"/>
        <v>350</v>
      </c>
      <c r="Z302" s="222">
        <f t="shared" si="378"/>
        <v>3.8709677419354835</v>
      </c>
      <c r="AA302" s="178">
        <f t="shared" si="379"/>
        <v>2.2119815668202762</v>
      </c>
      <c r="AB302" s="178">
        <f t="shared" si="380"/>
        <v>0.92211638517569838</v>
      </c>
      <c r="AC302" s="178"/>
      <c r="AD302" s="178">
        <f t="shared" si="381"/>
        <v>0.46857142857142853</v>
      </c>
      <c r="AE302" s="560">
        <f t="shared" si="382"/>
        <v>3497.9179060083293</v>
      </c>
      <c r="AF302" s="543">
        <f t="shared" si="383"/>
        <v>6.723999999999998E-2</v>
      </c>
      <c r="AH302" s="178">
        <f t="shared" si="384"/>
        <v>3.2706486905723851</v>
      </c>
      <c r="AI302" s="178">
        <f t="shared" si="385"/>
        <v>3.2706486905723851</v>
      </c>
      <c r="AJ302" s="178">
        <f t="shared" si="386"/>
        <v>3.0152953263499152</v>
      </c>
      <c r="AL302" s="560">
        <f t="shared" si="387"/>
        <v>672</v>
      </c>
      <c r="AM302" s="470">
        <f t="shared" si="388"/>
        <v>350</v>
      </c>
      <c r="AO302">
        <f t="shared" si="389"/>
        <v>672</v>
      </c>
      <c r="AP302">
        <f t="shared" si="390"/>
        <v>350</v>
      </c>
      <c r="AR302" s="6">
        <f t="shared" si="360"/>
        <v>2.8571428571428572</v>
      </c>
      <c r="AS302" s="6">
        <f t="shared" si="339"/>
        <v>0.54510811509539747</v>
      </c>
      <c r="AT302" s="6">
        <f t="shared" si="340"/>
        <v>2.3120347420474596</v>
      </c>
      <c r="AU302" s="178">
        <f t="shared" si="341"/>
        <v>0.1907878402833891</v>
      </c>
      <c r="AW302" s="6">
        <f>L*Iout^2/(2*Vripple1_spec*Vout*Npri_sec1^2)*1000000000*((1+N302)/(1-N302))^2</f>
        <v>3.8996913580246928</v>
      </c>
      <c r="AX302" s="6">
        <f>L*F302^2/(2*Cout*Vout*Nps^2)*1000000000*((1+N302)/(1-N302))^2+F302*RCoutEsr</f>
        <v>9.0414184397163133</v>
      </c>
      <c r="AY302" s="6">
        <f>L*Iout2^2/(2*Vout_ripple2*Vout2*Npri_sec2^2)*1000000000*((1+N302)/(1-N302))^2</f>
        <v>1.5233169367283956</v>
      </c>
      <c r="AZ302" s="6">
        <f>L*G302^2/(2*Cout2*Vout2*Npri_sec2^2)*1000000000*((1+N302)/(1-N302))^2+G302*CoutEsr2</f>
        <v>4.0043040780141848</v>
      </c>
      <c r="BA302" s="6">
        <f>(H302+I302)/Efficiency/J302*AT302/Vinripple1</f>
        <v>1.1249198277096411</v>
      </c>
      <c r="BB302" s="6"/>
      <c r="CE302" s="577">
        <f t="shared" si="391"/>
        <v>-50</v>
      </c>
    </row>
    <row r="303" spans="5:83" x14ac:dyDescent="0.2">
      <c r="E303" s="175">
        <v>85</v>
      </c>
      <c r="F303" s="222">
        <f t="shared" si="392"/>
        <v>0.68</v>
      </c>
      <c r="G303" s="222">
        <f t="shared" si="361"/>
        <v>0.42499999999999999</v>
      </c>
      <c r="H303" s="222">
        <f t="shared" si="362"/>
        <v>8.16</v>
      </c>
      <c r="I303" s="222">
        <f t="shared" si="363"/>
        <v>5.0999999999999996</v>
      </c>
      <c r="J303" s="556">
        <f t="shared" si="364"/>
        <v>42</v>
      </c>
      <c r="K303" s="452">
        <f t="shared" si="365"/>
        <v>12.25</v>
      </c>
      <c r="L303" s="452">
        <f t="shared" si="366"/>
        <v>54.25</v>
      </c>
      <c r="M303" s="452"/>
      <c r="N303" s="222">
        <f t="shared" si="367"/>
        <v>0.22580645161290322</v>
      </c>
      <c r="O303" s="177">
        <f t="shared" si="368"/>
        <v>11.36605459057072</v>
      </c>
      <c r="P303" s="177">
        <f t="shared" si="369"/>
        <v>11.543649193548385</v>
      </c>
      <c r="Q303" s="222">
        <f t="shared" si="370"/>
        <v>0.94717121588089326</v>
      </c>
      <c r="R303" s="222">
        <f t="shared" si="371"/>
        <v>0.94717121588089326</v>
      </c>
      <c r="S303" s="222">
        <f t="shared" si="372"/>
        <v>12</v>
      </c>
      <c r="T303" s="222">
        <f t="shared" si="373"/>
        <v>2.9435016111707841</v>
      </c>
      <c r="U303" s="222">
        <f t="shared" si="374"/>
        <v>0.49058360186179739</v>
      </c>
      <c r="V303" s="222">
        <f t="shared" si="375"/>
        <v>1.6820009206690196</v>
      </c>
      <c r="W303" s="202">
        <f t="shared" si="376"/>
        <v>350</v>
      </c>
      <c r="X303" s="452">
        <f t="shared" si="377"/>
        <v>350</v>
      </c>
      <c r="Z303" s="222">
        <f t="shared" si="378"/>
        <v>3.8709677419354835</v>
      </c>
      <c r="AA303" s="178">
        <f t="shared" si="379"/>
        <v>2.2119815668202762</v>
      </c>
      <c r="AB303" s="178">
        <f t="shared" si="380"/>
        <v>0.92211638517569838</v>
      </c>
      <c r="AC303" s="178"/>
      <c r="AD303" s="178">
        <f t="shared" si="381"/>
        <v>0.46857142857142853</v>
      </c>
      <c r="AE303" s="560">
        <f t="shared" si="382"/>
        <v>3539.5597858417618</v>
      </c>
      <c r="AF303" s="543">
        <f t="shared" si="383"/>
        <v>6.723999999999998E-2</v>
      </c>
      <c r="AH303" s="178">
        <f t="shared" si="384"/>
        <v>3.2900592389679497</v>
      </c>
      <c r="AI303" s="178">
        <f t="shared" si="385"/>
        <v>3.2900592389679497</v>
      </c>
      <c r="AJ303" s="178">
        <f t="shared" si="386"/>
        <v>3.0296735103466297</v>
      </c>
      <c r="AL303" s="560">
        <f t="shared" si="387"/>
        <v>680</v>
      </c>
      <c r="AM303" s="470">
        <f t="shared" si="388"/>
        <v>350</v>
      </c>
      <c r="AO303">
        <f t="shared" si="389"/>
        <v>680</v>
      </c>
      <c r="AP303">
        <f t="shared" si="390"/>
        <v>350</v>
      </c>
      <c r="AR303" s="6">
        <f t="shared" si="360"/>
        <v>2.8571428571428572</v>
      </c>
      <c r="AS303" s="6">
        <f t="shared" si="339"/>
        <v>0.54834320649465829</v>
      </c>
      <c r="AT303" s="6">
        <f t="shared" si="340"/>
        <v>2.3087996506481989</v>
      </c>
      <c r="AU303" s="178">
        <f t="shared" si="341"/>
        <v>0.19192012227313041</v>
      </c>
      <c r="AW303" s="6">
        <f>L*Iout^2/(2*Vripple1_spec*Vout*Npri_sec1^2)*1000000000*((1+N303)/(1-N303))^2</f>
        <v>3.8996913580246928</v>
      </c>
      <c r="AX303" s="6">
        <f>L*F303^2/(2*Cout*Vout*Nps^2)*1000000000*((1+N303)/(1-N303))^2+F303*RCoutEsr</f>
        <v>9.2336859732072512</v>
      </c>
      <c r="AY303" s="6">
        <f>L*Iout2^2/(2*Vout_ripple2*Vout2*Npri_sec2^2)*1000000000*((1+N303)/(1-N303))^2</f>
        <v>1.5233169367283956</v>
      </c>
      <c r="AZ303" s="6">
        <f>L*G303^2/(2*Cout2*Vout2*Npri_sec2^2)*1000000000*((1+N303)/(1-N303))^2+G303*CoutEsr2</f>
        <v>4.0850335832840816</v>
      </c>
      <c r="BA303" s="6">
        <f>(H303+I303)/Efficiency/J303*AT303/Vinripple1</f>
        <v>1.1367189591606837</v>
      </c>
      <c r="BB303" s="6"/>
      <c r="CE303" s="577">
        <f t="shared" si="391"/>
        <v>-50</v>
      </c>
    </row>
    <row r="304" spans="5:83" x14ac:dyDescent="0.2">
      <c r="E304" s="175">
        <v>86</v>
      </c>
      <c r="F304" s="222">
        <f t="shared" si="392"/>
        <v>0.68800000000000006</v>
      </c>
      <c r="G304" s="222">
        <f t="shared" si="361"/>
        <v>0.43</v>
      </c>
      <c r="H304" s="222">
        <f t="shared" si="362"/>
        <v>8.2560000000000002</v>
      </c>
      <c r="I304" s="222">
        <f t="shared" si="363"/>
        <v>5.16</v>
      </c>
      <c r="J304" s="556">
        <f t="shared" si="364"/>
        <v>42</v>
      </c>
      <c r="K304" s="452">
        <f t="shared" si="365"/>
        <v>12.25</v>
      </c>
      <c r="L304" s="452">
        <f t="shared" si="366"/>
        <v>54.25</v>
      </c>
      <c r="M304" s="452"/>
      <c r="N304" s="222">
        <f t="shared" si="367"/>
        <v>0.22580645161290322</v>
      </c>
      <c r="O304" s="177">
        <f t="shared" si="368"/>
        <v>11.36605459057072</v>
      </c>
      <c r="P304" s="177">
        <f t="shared" si="369"/>
        <v>11.543649193548385</v>
      </c>
      <c r="Q304" s="222">
        <f t="shared" si="370"/>
        <v>0.94717121588089326</v>
      </c>
      <c r="R304" s="222">
        <f t="shared" si="371"/>
        <v>0.94717121588089326</v>
      </c>
      <c r="S304" s="222">
        <f t="shared" si="372"/>
        <v>12</v>
      </c>
      <c r="T304" s="222">
        <f t="shared" si="373"/>
        <v>2.9781310418904403</v>
      </c>
      <c r="U304" s="222">
        <f t="shared" si="374"/>
        <v>0.49635517364840676</v>
      </c>
      <c r="V304" s="222">
        <f t="shared" si="375"/>
        <v>1.7017891667945373</v>
      </c>
      <c r="W304" s="202">
        <f t="shared" si="376"/>
        <v>350</v>
      </c>
      <c r="X304" s="452">
        <f t="shared" si="377"/>
        <v>350</v>
      </c>
      <c r="Z304" s="222">
        <f t="shared" si="378"/>
        <v>3.8709677419354835</v>
      </c>
      <c r="AA304" s="178">
        <f t="shared" si="379"/>
        <v>2.2119815668202762</v>
      </c>
      <c r="AB304" s="178">
        <f t="shared" si="380"/>
        <v>0.92211638517569838</v>
      </c>
      <c r="AC304" s="178"/>
      <c r="AD304" s="178">
        <f t="shared" si="381"/>
        <v>0.46857142857142853</v>
      </c>
      <c r="AE304" s="560">
        <f t="shared" si="382"/>
        <v>3581.2016656751944</v>
      </c>
      <c r="AF304" s="543">
        <f t="shared" si="383"/>
        <v>6.723999999999998E-2</v>
      </c>
      <c r="AH304" s="178">
        <f t="shared" si="384"/>
        <v>3.309355939558916</v>
      </c>
      <c r="AI304" s="178">
        <f t="shared" si="385"/>
        <v>3.309355939558916</v>
      </c>
      <c r="AJ304" s="178">
        <f t="shared" si="386"/>
        <v>3.0439673626362342</v>
      </c>
      <c r="AL304" s="560">
        <f t="shared" si="387"/>
        <v>688</v>
      </c>
      <c r="AM304" s="470">
        <f t="shared" si="388"/>
        <v>350</v>
      </c>
      <c r="AO304">
        <f t="shared" si="389"/>
        <v>688</v>
      </c>
      <c r="AP304">
        <f t="shared" si="390"/>
        <v>350</v>
      </c>
      <c r="AR304" s="6">
        <f t="shared" si="360"/>
        <v>2.8571428571428572</v>
      </c>
      <c r="AS304" s="6">
        <f t="shared" si="339"/>
        <v>0.55155932325981927</v>
      </c>
      <c r="AT304" s="6">
        <f t="shared" si="340"/>
        <v>2.3055835338830377</v>
      </c>
      <c r="AU304" s="178">
        <f t="shared" si="341"/>
        <v>0.19304576314093674</v>
      </c>
      <c r="AW304" s="6">
        <f>L*Iout^2/(2*Vripple1_spec*Vout*Npri_sec1^2)*1000000000*((1+N304)/(1-N304))^2</f>
        <v>3.8996913580246928</v>
      </c>
      <c r="AX304" s="6">
        <f>L*F304^2/(2*Cout*Vout*Nps^2)*1000000000*((1+N304)/(1-N304))^2+F304*RCoutEsr</f>
        <v>9.4279448384554811</v>
      </c>
      <c r="AY304" s="6">
        <f>L*Iout2^2/(2*Vout_ripple2*Vout2*Npri_sec2^2)*1000000000*((1+N304)/(1-N304))^2</f>
        <v>1.5233169367283956</v>
      </c>
      <c r="AZ304" s="6">
        <f>L*G304^2/(2*Cout2*Vout2*Npri_sec2^2)*1000000000*((1+N304)/(1-N304))^2+G304*CoutEsr2</f>
        <v>4.1665409525216717</v>
      </c>
      <c r="BA304" s="6">
        <f>(H304+I304)/Efficiency/J304*AT304/Vinripple1</f>
        <v>1.1484900655555494</v>
      </c>
      <c r="BB304" s="6"/>
      <c r="CE304" s="577">
        <f t="shared" si="391"/>
        <v>-50</v>
      </c>
    </row>
    <row r="305" spans="5:83" x14ac:dyDescent="0.2">
      <c r="E305" s="175">
        <v>87</v>
      </c>
      <c r="F305" s="222">
        <f t="shared" si="392"/>
        <v>0.69600000000000006</v>
      </c>
      <c r="G305" s="222">
        <f t="shared" si="361"/>
        <v>0.435</v>
      </c>
      <c r="H305" s="222">
        <f t="shared" si="362"/>
        <v>8.3520000000000003</v>
      </c>
      <c r="I305" s="222">
        <f t="shared" si="363"/>
        <v>5.22</v>
      </c>
      <c r="J305" s="556">
        <f t="shared" si="364"/>
        <v>42</v>
      </c>
      <c r="K305" s="452">
        <f t="shared" si="365"/>
        <v>12.25</v>
      </c>
      <c r="L305" s="452">
        <f t="shared" si="366"/>
        <v>54.25</v>
      </c>
      <c r="M305" s="452"/>
      <c r="N305" s="222">
        <f t="shared" si="367"/>
        <v>0.22580645161290322</v>
      </c>
      <c r="O305" s="177">
        <f t="shared" si="368"/>
        <v>11.36605459057072</v>
      </c>
      <c r="P305" s="177">
        <f t="shared" si="369"/>
        <v>11.543649193548385</v>
      </c>
      <c r="Q305" s="222">
        <f t="shared" si="370"/>
        <v>0.94717121588089326</v>
      </c>
      <c r="R305" s="222">
        <f t="shared" si="371"/>
        <v>0.94717121588089326</v>
      </c>
      <c r="S305" s="222">
        <f t="shared" si="372"/>
        <v>12</v>
      </c>
      <c r="T305" s="222">
        <f t="shared" si="373"/>
        <v>3.0127604726100965</v>
      </c>
      <c r="U305" s="222">
        <f t="shared" si="374"/>
        <v>0.50212674543501612</v>
      </c>
      <c r="V305" s="222">
        <f t="shared" si="375"/>
        <v>1.7215774129200552</v>
      </c>
      <c r="W305" s="202">
        <f t="shared" si="376"/>
        <v>350</v>
      </c>
      <c r="X305" s="452">
        <f t="shared" si="377"/>
        <v>350</v>
      </c>
      <c r="Z305" s="222">
        <f t="shared" si="378"/>
        <v>3.8709677419354835</v>
      </c>
      <c r="AA305" s="178">
        <f t="shared" si="379"/>
        <v>2.2119815668202762</v>
      </c>
      <c r="AB305" s="178">
        <f t="shared" si="380"/>
        <v>0.92211638517569838</v>
      </c>
      <c r="AC305" s="178"/>
      <c r="AD305" s="178">
        <f t="shared" si="381"/>
        <v>0.46857142857142853</v>
      </c>
      <c r="AE305" s="560">
        <f t="shared" si="382"/>
        <v>3622.8435455086264</v>
      </c>
      <c r="AF305" s="543">
        <f t="shared" si="383"/>
        <v>6.723999999999998E-2</v>
      </c>
      <c r="AH305" s="178">
        <f t="shared" si="384"/>
        <v>3.3285407723910168</v>
      </c>
      <c r="AI305" s="178">
        <f t="shared" si="385"/>
        <v>3.3285407723910168</v>
      </c>
      <c r="AJ305" s="178">
        <f t="shared" si="386"/>
        <v>3.0581783499192721</v>
      </c>
      <c r="AL305" s="560">
        <f t="shared" si="387"/>
        <v>696.00000000000011</v>
      </c>
      <c r="AM305" s="470">
        <f t="shared" si="388"/>
        <v>350</v>
      </c>
      <c r="AO305">
        <f t="shared" si="389"/>
        <v>696.00000000000011</v>
      </c>
      <c r="AP305">
        <f t="shared" si="390"/>
        <v>350</v>
      </c>
      <c r="AR305" s="6">
        <f t="shared" si="360"/>
        <v>2.8571428571428572</v>
      </c>
      <c r="AS305" s="6">
        <f t="shared" si="339"/>
        <v>0.55475679539850276</v>
      </c>
      <c r="AT305" s="6">
        <f t="shared" si="340"/>
        <v>2.3023860617443543</v>
      </c>
      <c r="AU305" s="178">
        <f t="shared" si="341"/>
        <v>0.19416487838947596</v>
      </c>
      <c r="AW305" s="6">
        <f>L*Iout^2/(2*Vripple1_spec*Vout*Npri_sec1^2)*1000000000*((1+N305)/(1-N305))^2</f>
        <v>3.8996913580246928</v>
      </c>
      <c r="AX305" s="6">
        <f>L*F305^2/(2*Cout*Vout*Nps^2)*1000000000*((1+N305)/(1-N305))^2+F305*RCoutEsr</f>
        <v>9.6241950354609962</v>
      </c>
      <c r="AY305" s="6">
        <f>L*Iout2^2/(2*Vout_ripple2*Vout2*Npri_sec2^2)*1000000000*((1+N305)/(1-N305))^2</f>
        <v>1.5233169367283956</v>
      </c>
      <c r="AZ305" s="6">
        <f>L*G305^2/(2*Cout2*Vout2*Npri_sec2^2)*1000000000*((1+N305)/(1-N305))^2+G305*CoutEsr2</f>
        <v>4.2488261857269505</v>
      </c>
      <c r="BA305" s="6">
        <f>(H305+I305)/Efficiency/J305*AT305/Vinripple1</f>
        <v>1.1602333103126103</v>
      </c>
      <c r="BB305" s="6"/>
      <c r="CE305" s="577">
        <f t="shared" si="391"/>
        <v>-50</v>
      </c>
    </row>
    <row r="306" spans="5:83" x14ac:dyDescent="0.2">
      <c r="E306" s="175">
        <v>88</v>
      </c>
      <c r="F306" s="222">
        <f t="shared" si="392"/>
        <v>0.70400000000000007</v>
      </c>
      <c r="G306" s="222">
        <f t="shared" si="361"/>
        <v>0.44</v>
      </c>
      <c r="H306" s="222">
        <f t="shared" si="362"/>
        <v>8.4480000000000004</v>
      </c>
      <c r="I306" s="222">
        <f t="shared" si="363"/>
        <v>5.28</v>
      </c>
      <c r="J306" s="556">
        <f t="shared" si="364"/>
        <v>42</v>
      </c>
      <c r="K306" s="452">
        <f t="shared" si="365"/>
        <v>12.25</v>
      </c>
      <c r="L306" s="452">
        <f t="shared" si="366"/>
        <v>54.25</v>
      </c>
      <c r="M306" s="452"/>
      <c r="N306" s="222">
        <f t="shared" si="367"/>
        <v>0.22580645161290322</v>
      </c>
      <c r="O306" s="177">
        <f t="shared" si="368"/>
        <v>11.36605459057072</v>
      </c>
      <c r="P306" s="177">
        <f t="shared" si="369"/>
        <v>11.543649193548385</v>
      </c>
      <c r="Q306" s="222">
        <f t="shared" si="370"/>
        <v>0.94717121588089326</v>
      </c>
      <c r="R306" s="222">
        <f t="shared" si="371"/>
        <v>0.94717121588089326</v>
      </c>
      <c r="S306" s="222">
        <f t="shared" si="372"/>
        <v>12</v>
      </c>
      <c r="T306" s="222">
        <f t="shared" si="373"/>
        <v>3.0473899033297531</v>
      </c>
      <c r="U306" s="222">
        <f t="shared" si="374"/>
        <v>0.50789831722162548</v>
      </c>
      <c r="V306" s="222">
        <f t="shared" si="375"/>
        <v>1.7413656590455731</v>
      </c>
      <c r="W306" s="202">
        <f t="shared" si="376"/>
        <v>350</v>
      </c>
      <c r="X306" s="452">
        <f t="shared" si="377"/>
        <v>350</v>
      </c>
      <c r="Z306" s="222">
        <f t="shared" si="378"/>
        <v>3.8709677419354835</v>
      </c>
      <c r="AA306" s="178">
        <f t="shared" si="379"/>
        <v>2.2119815668202762</v>
      </c>
      <c r="AB306" s="178">
        <f t="shared" si="380"/>
        <v>0.92211638517569838</v>
      </c>
      <c r="AC306" s="178"/>
      <c r="AD306" s="178">
        <f t="shared" si="381"/>
        <v>0.46857142857142853</v>
      </c>
      <c r="AE306" s="560">
        <f t="shared" si="382"/>
        <v>3664.485425342059</v>
      </c>
      <c r="AF306" s="543">
        <f t="shared" si="383"/>
        <v>6.723999999999998E-2</v>
      </c>
      <c r="AH306" s="178">
        <f t="shared" si="384"/>
        <v>3.3476156607718424</v>
      </c>
      <c r="AI306" s="178">
        <f t="shared" si="385"/>
        <v>3.3476156607718424</v>
      </c>
      <c r="AJ306" s="178">
        <f t="shared" si="386"/>
        <v>3.0723078968680313</v>
      </c>
      <c r="AL306" s="560">
        <f t="shared" si="387"/>
        <v>704.00000000000011</v>
      </c>
      <c r="AM306" s="470">
        <f t="shared" si="388"/>
        <v>350</v>
      </c>
      <c r="AO306">
        <f t="shared" si="389"/>
        <v>704.00000000000011</v>
      </c>
      <c r="AP306">
        <f t="shared" si="390"/>
        <v>350</v>
      </c>
      <c r="AR306" s="6">
        <f t="shared" si="360"/>
        <v>2.8571428571428572</v>
      </c>
      <c r="AS306" s="6">
        <f t="shared" si="339"/>
        <v>0.55793594346197373</v>
      </c>
      <c r="AT306" s="6">
        <f t="shared" si="340"/>
        <v>2.2992069136808837</v>
      </c>
      <c r="AU306" s="178">
        <f t="shared" si="341"/>
        <v>0.19527758021169081</v>
      </c>
      <c r="AW306" s="6">
        <f>L*Iout^2/(2*Vripple1_spec*Vout*Npri_sec1^2)*1000000000*((1+N306)/(1-N306))^2</f>
        <v>3.8996913580246928</v>
      </c>
      <c r="AX306" s="6">
        <f>L*F306^2/(2*Cout*Vout*Nps^2)*1000000000*((1+N306)/(1-N306))^2+F306*RCoutEsr</f>
        <v>9.8224365642238034</v>
      </c>
      <c r="AY306" s="6">
        <f>L*Iout2^2/(2*Vout_ripple2*Vout2*Npri_sec2^2)*1000000000*((1+N306)/(1-N306))^2</f>
        <v>1.5233169367283956</v>
      </c>
      <c r="AZ306" s="6">
        <f>L*G306^2/(2*Cout2*Vout2*Npri_sec2^2)*1000000000*((1+N306)/(1-N306))^2+G306*CoutEsr2</f>
        <v>4.3318892828999225</v>
      </c>
      <c r="BA306" s="6">
        <f>(H306+I306)/Efficiency/J306*AT306/Vinripple1</f>
        <v>1.1719488540243637</v>
      </c>
      <c r="BB306" s="6"/>
      <c r="CE306" s="577">
        <f t="shared" si="391"/>
        <v>-50</v>
      </c>
    </row>
    <row r="307" spans="5:83" x14ac:dyDescent="0.2">
      <c r="E307" s="175">
        <v>89</v>
      </c>
      <c r="F307" s="222">
        <f t="shared" si="392"/>
        <v>0.71200000000000008</v>
      </c>
      <c r="G307" s="222">
        <f t="shared" si="361"/>
        <v>0.44500000000000001</v>
      </c>
      <c r="H307" s="222">
        <f t="shared" si="362"/>
        <v>8.5440000000000005</v>
      </c>
      <c r="I307" s="222">
        <f t="shared" si="363"/>
        <v>5.34</v>
      </c>
      <c r="J307" s="556">
        <f t="shared" si="364"/>
        <v>42</v>
      </c>
      <c r="K307" s="452">
        <f t="shared" si="365"/>
        <v>12.25</v>
      </c>
      <c r="L307" s="452">
        <f t="shared" si="366"/>
        <v>54.25</v>
      </c>
      <c r="M307" s="452"/>
      <c r="N307" s="222">
        <f t="shared" si="367"/>
        <v>0.22580645161290322</v>
      </c>
      <c r="O307" s="177">
        <f t="shared" si="368"/>
        <v>11.36605459057072</v>
      </c>
      <c r="P307" s="177">
        <f t="shared" si="369"/>
        <v>11.543649193548385</v>
      </c>
      <c r="Q307" s="222">
        <f t="shared" si="370"/>
        <v>0.94717121588089326</v>
      </c>
      <c r="R307" s="222">
        <f t="shared" si="371"/>
        <v>0.94717121588089326</v>
      </c>
      <c r="S307" s="222">
        <f t="shared" si="372"/>
        <v>12</v>
      </c>
      <c r="T307" s="222">
        <f t="shared" si="373"/>
        <v>3.0820193340494093</v>
      </c>
      <c r="U307" s="222">
        <f t="shared" si="374"/>
        <v>0.51366988900823485</v>
      </c>
      <c r="V307" s="222">
        <f t="shared" si="375"/>
        <v>1.7611539051710909</v>
      </c>
      <c r="W307" s="202">
        <f t="shared" si="376"/>
        <v>350</v>
      </c>
      <c r="X307" s="452">
        <f t="shared" si="377"/>
        <v>350</v>
      </c>
      <c r="Z307" s="222">
        <f t="shared" si="378"/>
        <v>3.8709677419354835</v>
      </c>
      <c r="AA307" s="178">
        <f t="shared" si="379"/>
        <v>2.2119815668202762</v>
      </c>
      <c r="AB307" s="178">
        <f t="shared" si="380"/>
        <v>0.92211638517569838</v>
      </c>
      <c r="AC307" s="178"/>
      <c r="AD307" s="178">
        <f t="shared" si="381"/>
        <v>0.46857142857142853</v>
      </c>
      <c r="AE307" s="560">
        <f t="shared" si="382"/>
        <v>3706.1273051754915</v>
      </c>
      <c r="AF307" s="543">
        <f t="shared" si="383"/>
        <v>6.723999999999998E-2</v>
      </c>
      <c r="AH307" s="178">
        <f t="shared" si="384"/>
        <v>3.3665824735212424</v>
      </c>
      <c r="AI307" s="178">
        <f t="shared" si="385"/>
        <v>3.3665824735212424</v>
      </c>
      <c r="AJ307" s="178">
        <f t="shared" si="386"/>
        <v>3.0863573877935129</v>
      </c>
      <c r="AL307" s="560">
        <f t="shared" si="387"/>
        <v>712.00000000000011</v>
      </c>
      <c r="AM307" s="470">
        <f t="shared" si="388"/>
        <v>350</v>
      </c>
      <c r="AO307">
        <f t="shared" si="389"/>
        <v>712.00000000000011</v>
      </c>
      <c r="AP307">
        <f t="shared" si="390"/>
        <v>350</v>
      </c>
      <c r="AR307" s="6">
        <f t="shared" si="360"/>
        <v>2.8571428571428572</v>
      </c>
      <c r="AS307" s="6">
        <f t="shared" si="339"/>
        <v>0.5610970789202071</v>
      </c>
      <c r="AT307" s="6">
        <f t="shared" si="340"/>
        <v>2.2960457782226502</v>
      </c>
      <c r="AU307" s="178">
        <f t="shared" si="341"/>
        <v>0.19638397762207249</v>
      </c>
      <c r="AW307" s="6">
        <f>L*Iout^2/(2*Vripple1_spec*Vout*Npri_sec1^2)*1000000000*((1+N307)/(1-N307))^2</f>
        <v>3.8996913580246928</v>
      </c>
      <c r="AX307" s="6">
        <f>L*F307^2/(2*Cout*Vout*Nps^2)*1000000000*((1+N307)/(1-N307))^2+F307*RCoutEsr</f>
        <v>10.022669424743896</v>
      </c>
      <c r="AY307" s="6">
        <f>L*Iout2^2/(2*Vout_ripple2*Vout2*Npri_sec2^2)*1000000000*((1+N307)/(1-N307))^2</f>
        <v>1.5233169367283956</v>
      </c>
      <c r="AZ307" s="6">
        <f>L*G307^2/(2*Cout2*Vout2*Npri_sec2^2)*1000000000*((1+N307)/(1-N307))^2+G307*CoutEsr2</f>
        <v>4.4157302440405841</v>
      </c>
      <c r="BA307" s="6">
        <f>(H307+I307)/Efficiency/J307*AT307/Vinripple1</f>
        <v>1.1836368545379476</v>
      </c>
      <c r="BB307" s="6"/>
      <c r="CE307" s="577">
        <f t="shared" si="391"/>
        <v>-50</v>
      </c>
    </row>
    <row r="308" spans="5:83" x14ac:dyDescent="0.2">
      <c r="E308" s="175">
        <v>90</v>
      </c>
      <c r="F308" s="222">
        <f t="shared" si="392"/>
        <v>0.72000000000000008</v>
      </c>
      <c r="G308" s="222">
        <f t="shared" si="361"/>
        <v>0.45</v>
      </c>
      <c r="H308" s="222">
        <f t="shared" si="362"/>
        <v>8.64</v>
      </c>
      <c r="I308" s="222">
        <f t="shared" si="363"/>
        <v>5.4</v>
      </c>
      <c r="J308" s="556">
        <f t="shared" si="364"/>
        <v>42</v>
      </c>
      <c r="K308" s="452">
        <f t="shared" si="365"/>
        <v>12.25</v>
      </c>
      <c r="L308" s="452">
        <f t="shared" si="366"/>
        <v>54.25</v>
      </c>
      <c r="M308" s="452"/>
      <c r="N308" s="222">
        <f t="shared" si="367"/>
        <v>0.22580645161290322</v>
      </c>
      <c r="O308" s="177">
        <f t="shared" si="368"/>
        <v>11.36605459057072</v>
      </c>
      <c r="P308" s="177">
        <f t="shared" si="369"/>
        <v>11.543649193548385</v>
      </c>
      <c r="Q308" s="222">
        <f t="shared" si="370"/>
        <v>0.94717121588089326</v>
      </c>
      <c r="R308" s="222">
        <f t="shared" si="371"/>
        <v>0.94717121588089326</v>
      </c>
      <c r="S308" s="222">
        <f t="shared" si="372"/>
        <v>12</v>
      </c>
      <c r="T308" s="222">
        <f t="shared" si="373"/>
        <v>3.1166487647690655</v>
      </c>
      <c r="U308" s="222">
        <f t="shared" si="374"/>
        <v>0.51944146079484432</v>
      </c>
      <c r="V308" s="222">
        <f t="shared" si="375"/>
        <v>1.780942151296609</v>
      </c>
      <c r="W308" s="202">
        <f t="shared" si="376"/>
        <v>350</v>
      </c>
      <c r="X308" s="452">
        <f t="shared" si="377"/>
        <v>350</v>
      </c>
      <c r="Z308" s="222">
        <f t="shared" si="378"/>
        <v>3.8709677419354835</v>
      </c>
      <c r="AA308" s="178">
        <f t="shared" si="379"/>
        <v>2.2119815668202762</v>
      </c>
      <c r="AB308" s="178">
        <f t="shared" si="380"/>
        <v>0.92211638517569838</v>
      </c>
      <c r="AC308" s="178"/>
      <c r="AD308" s="178">
        <f t="shared" si="381"/>
        <v>0.46857142857142853</v>
      </c>
      <c r="AE308" s="560">
        <f t="shared" si="382"/>
        <v>3747.7691850089241</v>
      </c>
      <c r="AF308" s="543">
        <f t="shared" si="383"/>
        <v>6.723999999999998E-2</v>
      </c>
      <c r="AH308" s="178">
        <f t="shared" si="384"/>
        <v>3.385443027108257</v>
      </c>
      <c r="AI308" s="178">
        <f t="shared" si="385"/>
        <v>3.385443027108257</v>
      </c>
      <c r="AJ308" s="178">
        <f t="shared" si="386"/>
        <v>3.100328168228339</v>
      </c>
      <c r="AL308" s="560">
        <f t="shared" si="387"/>
        <v>720.00000000000011</v>
      </c>
      <c r="AM308" s="470">
        <f t="shared" si="388"/>
        <v>350</v>
      </c>
      <c r="AO308">
        <f t="shared" si="389"/>
        <v>720.00000000000011</v>
      </c>
      <c r="AP308">
        <f t="shared" si="390"/>
        <v>350</v>
      </c>
      <c r="AR308" s="6">
        <f t="shared" si="360"/>
        <v>2.8571428571428572</v>
      </c>
      <c r="AS308" s="6">
        <f t="shared" si="339"/>
        <v>0.56424050451804286</v>
      </c>
      <c r="AT308" s="6">
        <f t="shared" si="340"/>
        <v>2.2929023526248145</v>
      </c>
      <c r="AU308" s="178">
        <f t="shared" si="341"/>
        <v>0.19748417658131501</v>
      </c>
      <c r="AW308" s="6">
        <f>L*Iout^2/(2*Vripple1_spec*Vout*Npri_sec1^2)*1000000000*((1+N308)/(1-N308))^2</f>
        <v>3.8996913580246928</v>
      </c>
      <c r="AX308" s="6">
        <f>L*F308^2/(2*Cout*Vout*Nps^2)*1000000000*((1+N308)/(1-N308))^2+F308*RCoutEsr</f>
        <v>10.22489361702128</v>
      </c>
      <c r="AY308" s="6">
        <f>L*Iout2^2/(2*Vout_ripple2*Vout2*Npri_sec2^2)*1000000000*((1+N308)/(1-N308))^2</f>
        <v>1.5233169367283956</v>
      </c>
      <c r="AZ308" s="6">
        <f>L*G308^2/(2*Cout2*Vout2*Npri_sec2^2)*1000000000*((1+N308)/(1-N308))^2+G308*CoutEsr2</f>
        <v>4.5003490691489372</v>
      </c>
      <c r="BA308" s="6">
        <f>(H308+I308)/Efficiency/J308*AT308/Vinripple1</f>
        <v>1.195297467032485</v>
      </c>
      <c r="BB308" s="6"/>
      <c r="CE308" s="577">
        <f t="shared" si="391"/>
        <v>-50</v>
      </c>
    </row>
    <row r="309" spans="5:83" x14ac:dyDescent="0.2">
      <c r="E309" s="175">
        <v>91</v>
      </c>
      <c r="F309" s="222">
        <f t="shared" si="392"/>
        <v>0.72800000000000009</v>
      </c>
      <c r="G309" s="222">
        <f t="shared" si="361"/>
        <v>0.45500000000000002</v>
      </c>
      <c r="H309" s="222">
        <f t="shared" si="362"/>
        <v>8.7360000000000007</v>
      </c>
      <c r="I309" s="222">
        <f t="shared" si="363"/>
        <v>5.46</v>
      </c>
      <c r="J309" s="556">
        <f t="shared" si="364"/>
        <v>42</v>
      </c>
      <c r="K309" s="452">
        <f t="shared" si="365"/>
        <v>12.25</v>
      </c>
      <c r="L309" s="452">
        <f t="shared" si="366"/>
        <v>54.25</v>
      </c>
      <c r="M309" s="452"/>
      <c r="N309" s="222">
        <f t="shared" si="367"/>
        <v>0.22580645161290322</v>
      </c>
      <c r="O309" s="177">
        <f t="shared" si="368"/>
        <v>11.36605459057072</v>
      </c>
      <c r="P309" s="177">
        <f t="shared" si="369"/>
        <v>11.543649193548385</v>
      </c>
      <c r="Q309" s="222">
        <f t="shared" si="370"/>
        <v>0.94717121588089326</v>
      </c>
      <c r="R309" s="222">
        <f t="shared" si="371"/>
        <v>0.94717121588089326</v>
      </c>
      <c r="S309" s="222">
        <f t="shared" si="372"/>
        <v>12</v>
      </c>
      <c r="T309" s="222">
        <f t="shared" si="373"/>
        <v>3.1512781954887221</v>
      </c>
      <c r="U309" s="222">
        <f t="shared" si="374"/>
        <v>0.52521303258145369</v>
      </c>
      <c r="V309" s="222">
        <f t="shared" si="375"/>
        <v>1.8007303974221269</v>
      </c>
      <c r="W309" s="202">
        <f t="shared" si="376"/>
        <v>350</v>
      </c>
      <c r="X309" s="452">
        <f t="shared" si="377"/>
        <v>350</v>
      </c>
      <c r="Z309" s="222">
        <f t="shared" si="378"/>
        <v>3.8709677419354835</v>
      </c>
      <c r="AA309" s="178">
        <f t="shared" si="379"/>
        <v>2.2119815668202762</v>
      </c>
      <c r="AB309" s="178">
        <f t="shared" si="380"/>
        <v>0.92211638517569838</v>
      </c>
      <c r="AC309" s="178"/>
      <c r="AD309" s="178">
        <f t="shared" si="381"/>
        <v>0.46857142857142853</v>
      </c>
      <c r="AE309" s="560">
        <f t="shared" si="382"/>
        <v>3789.4110648423566</v>
      </c>
      <c r="AF309" s="543">
        <f t="shared" si="383"/>
        <v>6.723999999999998E-2</v>
      </c>
      <c r="AH309" s="178">
        <f t="shared" si="384"/>
        <v>3.4041990876814814</v>
      </c>
      <c r="AI309" s="178">
        <f t="shared" si="385"/>
        <v>3.4041990876814814</v>
      </c>
      <c r="AJ309" s="178">
        <f t="shared" si="386"/>
        <v>3.114221546430727</v>
      </c>
      <c r="AL309" s="560">
        <f t="shared" si="387"/>
        <v>728.00000000000011</v>
      </c>
      <c r="AM309" s="470">
        <f t="shared" si="388"/>
        <v>350</v>
      </c>
      <c r="AO309">
        <f t="shared" si="389"/>
        <v>728.00000000000011</v>
      </c>
      <c r="AP309">
        <f t="shared" si="390"/>
        <v>350</v>
      </c>
      <c r="AR309" s="6">
        <f t="shared" si="360"/>
        <v>2.8571428571428572</v>
      </c>
      <c r="AS309" s="6">
        <f t="shared" ref="AS309:AS318" si="393">L*AI309/J309*1000000</f>
        <v>0.56736651461358023</v>
      </c>
      <c r="AT309" s="6">
        <f t="shared" ref="AT309:AT318" si="394">AR309-AS309</f>
        <v>2.2897763425292768</v>
      </c>
      <c r="AU309" s="178">
        <f t="shared" ref="AU309:AU318" si="395">AS309/AR309</f>
        <v>0.19857828011475306</v>
      </c>
      <c r="AW309" s="6">
        <f>L*Iout^2/(2*Vripple1_spec*Vout*Npri_sec1^2)*1000000000*((1+N309)/(1-N309))^2</f>
        <v>3.8996913580246928</v>
      </c>
      <c r="AX309" s="6">
        <f>L*F309^2/(2*Cout*Vout*Nps^2)*1000000000*((1+N309)/(1-N309))^2+F309*RCoutEsr</f>
        <v>10.429109141055953</v>
      </c>
      <c r="AY309" s="6">
        <f>L*Iout2^2/(2*Vout_ripple2*Vout2*Npri_sec2^2)*1000000000*((1+N309)/(1-N309))^2</f>
        <v>1.5233169367283956</v>
      </c>
      <c r="AZ309" s="6">
        <f>L*G309^2/(2*Cout2*Vout2*Npri_sec2^2)*1000000000*((1+N309)/(1-N309))^2+G309*CoutEsr2</f>
        <v>4.5857457582249816</v>
      </c>
      <c r="BA309" s="6">
        <f>(H309+I309)/Efficiency/J309*AT309/Vinripple1</f>
        <v>1.2069308440934043</v>
      </c>
      <c r="BB309" s="6"/>
      <c r="CE309" s="577">
        <f t="shared" si="391"/>
        <v>-50</v>
      </c>
    </row>
    <row r="310" spans="5:83" x14ac:dyDescent="0.2">
      <c r="E310" s="175">
        <v>92</v>
      </c>
      <c r="F310" s="222">
        <f t="shared" si="392"/>
        <v>0.7360000000000001</v>
      </c>
      <c r="G310" s="222">
        <f t="shared" si="361"/>
        <v>0.46</v>
      </c>
      <c r="H310" s="222">
        <f t="shared" si="362"/>
        <v>8.8320000000000007</v>
      </c>
      <c r="I310" s="222">
        <f t="shared" si="363"/>
        <v>5.5200000000000005</v>
      </c>
      <c r="J310" s="556">
        <f t="shared" si="364"/>
        <v>42</v>
      </c>
      <c r="K310" s="452">
        <f t="shared" si="365"/>
        <v>12.25</v>
      </c>
      <c r="L310" s="452">
        <f t="shared" si="366"/>
        <v>54.25</v>
      </c>
      <c r="M310" s="452"/>
      <c r="N310" s="222">
        <f t="shared" si="367"/>
        <v>0.22580645161290322</v>
      </c>
      <c r="O310" s="177">
        <f t="shared" si="368"/>
        <v>11.36605459057072</v>
      </c>
      <c r="P310" s="177">
        <f t="shared" si="369"/>
        <v>11.543649193548385</v>
      </c>
      <c r="Q310" s="222">
        <f t="shared" si="370"/>
        <v>0.94717121588089326</v>
      </c>
      <c r="R310" s="222">
        <f t="shared" si="371"/>
        <v>0.94717121588089326</v>
      </c>
      <c r="S310" s="222">
        <f t="shared" si="372"/>
        <v>12</v>
      </c>
      <c r="T310" s="222">
        <f t="shared" si="373"/>
        <v>3.1859076262083783</v>
      </c>
      <c r="U310" s="222">
        <f t="shared" si="374"/>
        <v>0.53098460436806305</v>
      </c>
      <c r="V310" s="222">
        <f t="shared" si="375"/>
        <v>1.8205186435476446</v>
      </c>
      <c r="W310" s="202">
        <f t="shared" si="376"/>
        <v>350</v>
      </c>
      <c r="X310" s="452">
        <f t="shared" si="377"/>
        <v>350</v>
      </c>
      <c r="Z310" s="222">
        <f t="shared" si="378"/>
        <v>3.8709677419354835</v>
      </c>
      <c r="AA310" s="178">
        <f t="shared" si="379"/>
        <v>2.2119815668202762</v>
      </c>
      <c r="AB310" s="178">
        <f t="shared" si="380"/>
        <v>0.92211638517569838</v>
      </c>
      <c r="AC310" s="178"/>
      <c r="AD310" s="178">
        <f t="shared" si="381"/>
        <v>0.46857142857142853</v>
      </c>
      <c r="AE310" s="560">
        <f t="shared" si="382"/>
        <v>3831.0529446757891</v>
      </c>
      <c r="AF310" s="543">
        <f t="shared" si="383"/>
        <v>6.723999999999998E-2</v>
      </c>
      <c r="AH310" s="178">
        <f t="shared" si="384"/>
        <v>3.4228523729993001</v>
      </c>
      <c r="AI310" s="178">
        <f t="shared" si="385"/>
        <v>3.4228523729993001</v>
      </c>
      <c r="AJ310" s="178">
        <f t="shared" si="386"/>
        <v>3.1280387948142963</v>
      </c>
      <c r="AL310" s="560">
        <f t="shared" si="387"/>
        <v>736.00000000000011</v>
      </c>
      <c r="AM310" s="470">
        <f t="shared" si="388"/>
        <v>350</v>
      </c>
      <c r="AO310">
        <f t="shared" si="389"/>
        <v>736.00000000000011</v>
      </c>
      <c r="AP310">
        <f t="shared" si="390"/>
        <v>350</v>
      </c>
      <c r="AR310" s="6">
        <f t="shared" si="360"/>
        <v>2.8571428571428572</v>
      </c>
      <c r="AS310" s="6">
        <f t="shared" si="393"/>
        <v>0.57047539549988335</v>
      </c>
      <c r="AT310" s="6">
        <f t="shared" si="394"/>
        <v>2.2866674616429741</v>
      </c>
      <c r="AU310" s="178">
        <f t="shared" si="395"/>
        <v>0.19966638842495918</v>
      </c>
      <c r="AW310" s="6">
        <f>L*Iout^2/(2*Vripple1_spec*Vout*Npri_sec1^2)*1000000000*((1+N310)/(1-N310))^2</f>
        <v>3.8996913580246928</v>
      </c>
      <c r="AX310" s="6">
        <f>L*F310^2/(2*Cout*Vout*Nps^2)*1000000000*((1+N310)/(1-N310))^2+F310*RCoutEsr</f>
        <v>10.635315996847917</v>
      </c>
      <c r="AY310" s="6">
        <f>L*Iout2^2/(2*Vout_ripple2*Vout2*Npri_sec2^2)*1000000000*((1+N310)/(1-N310))^2</f>
        <v>1.5233169367283956</v>
      </c>
      <c r="AZ310" s="6">
        <f>L*G310^2/(2*Cout2*Vout2*Npri_sec2^2)*1000000000*((1+N310)/(1-N310))^2+G310*CoutEsr2</f>
        <v>4.6719203112687167</v>
      </c>
      <c r="BA310" s="6">
        <f>(H310+I310)/Efficiency/J310*AT310/Vinripple1</f>
        <v>1.2185371357839028</v>
      </c>
      <c r="BB310" s="6"/>
      <c r="CE310" s="577">
        <f t="shared" si="391"/>
        <v>-50</v>
      </c>
    </row>
    <row r="311" spans="5:83" x14ac:dyDescent="0.2">
      <c r="E311" s="175">
        <v>93</v>
      </c>
      <c r="F311" s="222">
        <f t="shared" si="392"/>
        <v>0.74400000000000011</v>
      </c>
      <c r="G311" s="222">
        <f t="shared" si="361"/>
        <v>0.46500000000000002</v>
      </c>
      <c r="H311" s="222">
        <f t="shared" si="362"/>
        <v>8.9280000000000008</v>
      </c>
      <c r="I311" s="222">
        <f t="shared" si="363"/>
        <v>5.58</v>
      </c>
      <c r="J311" s="556">
        <f t="shared" si="364"/>
        <v>42</v>
      </c>
      <c r="K311" s="452">
        <f t="shared" si="365"/>
        <v>12.25</v>
      </c>
      <c r="L311" s="452">
        <f t="shared" si="366"/>
        <v>54.25</v>
      </c>
      <c r="M311" s="452"/>
      <c r="N311" s="222">
        <f t="shared" si="367"/>
        <v>0.22580645161290322</v>
      </c>
      <c r="O311" s="177">
        <f t="shared" si="368"/>
        <v>11.36605459057072</v>
      </c>
      <c r="P311" s="177">
        <f t="shared" si="369"/>
        <v>11.543649193548385</v>
      </c>
      <c r="Q311" s="222">
        <f t="shared" si="370"/>
        <v>0.94717121588089326</v>
      </c>
      <c r="R311" s="222">
        <f t="shared" si="371"/>
        <v>0.94717121588089326</v>
      </c>
      <c r="S311" s="222">
        <f t="shared" si="372"/>
        <v>12</v>
      </c>
      <c r="T311" s="222">
        <f t="shared" si="373"/>
        <v>3.2205370569280345</v>
      </c>
      <c r="U311" s="222">
        <f t="shared" si="374"/>
        <v>0.53675617615467242</v>
      </c>
      <c r="V311" s="222">
        <f t="shared" si="375"/>
        <v>1.8403068896731627</v>
      </c>
      <c r="W311" s="202">
        <f t="shared" si="376"/>
        <v>350</v>
      </c>
      <c r="X311" s="452">
        <f t="shared" si="377"/>
        <v>350</v>
      </c>
      <c r="Z311" s="222">
        <f t="shared" si="378"/>
        <v>3.8709677419354835</v>
      </c>
      <c r="AA311" s="178">
        <f t="shared" si="379"/>
        <v>2.2119815668202762</v>
      </c>
      <c r="AB311" s="178">
        <f t="shared" si="380"/>
        <v>0.92211638517569838</v>
      </c>
      <c r="AC311" s="178"/>
      <c r="AD311" s="178">
        <f t="shared" si="381"/>
        <v>0.46857142857142853</v>
      </c>
      <c r="AE311" s="560">
        <f t="shared" si="382"/>
        <v>3872.6948245092217</v>
      </c>
      <c r="AF311" s="543">
        <f t="shared" si="383"/>
        <v>6.723999999999998E-2</v>
      </c>
      <c r="AH311" s="178">
        <f t="shared" si="384"/>
        <v>3.4414045542659539</v>
      </c>
      <c r="AI311" s="178">
        <f t="shared" si="385"/>
        <v>3.4414045542659539</v>
      </c>
      <c r="AJ311" s="178">
        <f t="shared" si="386"/>
        <v>3.1417811513081144</v>
      </c>
      <c r="AL311" s="560">
        <f t="shared" si="387"/>
        <v>744.00000000000011</v>
      </c>
      <c r="AM311" s="470">
        <f t="shared" si="388"/>
        <v>350</v>
      </c>
      <c r="AO311">
        <f t="shared" si="389"/>
        <v>744.00000000000011</v>
      </c>
      <c r="AP311">
        <f t="shared" si="390"/>
        <v>350</v>
      </c>
      <c r="AR311" s="6">
        <f t="shared" si="360"/>
        <v>2.8571428571428572</v>
      </c>
      <c r="AS311" s="6">
        <f t="shared" si="393"/>
        <v>0.57356742571099228</v>
      </c>
      <c r="AT311" s="6">
        <f t="shared" si="394"/>
        <v>2.2835754314318648</v>
      </c>
      <c r="AU311" s="178">
        <f t="shared" si="395"/>
        <v>0.20074859899884728</v>
      </c>
      <c r="AW311" s="6">
        <f>L*Iout^2/(2*Vripple1_spec*Vout*Npri_sec1^2)*1000000000*((1+N311)/(1-N311))^2</f>
        <v>3.8996913580246928</v>
      </c>
      <c r="AX311" s="6">
        <f>L*F311^2/(2*Cout*Vout*Nps^2)*1000000000*((1+N311)/(1-N311))^2+F311*RCoutEsr</f>
        <v>10.843514184397169</v>
      </c>
      <c r="AY311" s="6">
        <f>L*Iout2^2/(2*Vout_ripple2*Vout2*Npri_sec2^2)*1000000000*((1+N311)/(1-N311))^2</f>
        <v>1.5233169367283956</v>
      </c>
      <c r="AZ311" s="6">
        <f>L*G311^2/(2*Cout2*Vout2*Npri_sec2^2)*1000000000*((1+N311)/(1-N311))^2+G311*CoutEsr2</f>
        <v>4.7588727282801431</v>
      </c>
      <c r="BA311" s="6">
        <f>(H311+I311)/Efficiency/J311*AT311/Vinripple1</f>
        <v>1.2301164897136729</v>
      </c>
      <c r="BB311" s="6"/>
      <c r="CE311" s="577">
        <f t="shared" si="391"/>
        <v>-50</v>
      </c>
    </row>
    <row r="312" spans="5:83" x14ac:dyDescent="0.2">
      <c r="E312" s="175">
        <v>94</v>
      </c>
      <c r="F312" s="222">
        <f t="shared" si="392"/>
        <v>0.752</v>
      </c>
      <c r="G312" s="222">
        <f t="shared" si="361"/>
        <v>0.47</v>
      </c>
      <c r="H312" s="222">
        <f t="shared" si="362"/>
        <v>9.0240000000000009</v>
      </c>
      <c r="I312" s="222">
        <f t="shared" si="363"/>
        <v>5.64</v>
      </c>
      <c r="J312" s="556">
        <f t="shared" si="364"/>
        <v>42</v>
      </c>
      <c r="K312" s="452">
        <f t="shared" si="365"/>
        <v>12.25</v>
      </c>
      <c r="L312" s="452">
        <f t="shared" si="366"/>
        <v>54.25</v>
      </c>
      <c r="M312" s="452"/>
      <c r="N312" s="222">
        <f t="shared" si="367"/>
        <v>0.22580645161290322</v>
      </c>
      <c r="O312" s="177">
        <f t="shared" si="368"/>
        <v>11.36605459057072</v>
      </c>
      <c r="P312" s="177">
        <f t="shared" si="369"/>
        <v>11.543649193548385</v>
      </c>
      <c r="Q312" s="222">
        <f t="shared" si="370"/>
        <v>0.94717121588089326</v>
      </c>
      <c r="R312" s="222">
        <f t="shared" si="371"/>
        <v>0.94717121588089326</v>
      </c>
      <c r="S312" s="222">
        <f t="shared" si="372"/>
        <v>12</v>
      </c>
      <c r="T312" s="222">
        <f t="shared" si="373"/>
        <v>3.2551664876476911</v>
      </c>
      <c r="U312" s="222">
        <f t="shared" si="374"/>
        <v>0.54252774794128178</v>
      </c>
      <c r="V312" s="222">
        <f t="shared" si="375"/>
        <v>1.8600951357986808</v>
      </c>
      <c r="W312" s="202">
        <f t="shared" si="376"/>
        <v>350</v>
      </c>
      <c r="X312" s="452">
        <f t="shared" si="377"/>
        <v>350</v>
      </c>
      <c r="Z312" s="222">
        <f t="shared" si="378"/>
        <v>3.8709677419354835</v>
      </c>
      <c r="AA312" s="178">
        <f t="shared" si="379"/>
        <v>2.2119815668202762</v>
      </c>
      <c r="AB312" s="178">
        <f t="shared" si="380"/>
        <v>0.92211638517569838</v>
      </c>
      <c r="AC312" s="178"/>
      <c r="AD312" s="178">
        <f t="shared" si="381"/>
        <v>0.46857142857142853</v>
      </c>
      <c r="AE312" s="560">
        <f t="shared" si="382"/>
        <v>3914.3367043426538</v>
      </c>
      <c r="AF312" s="543">
        <f t="shared" si="383"/>
        <v>6.723999999999998E-2</v>
      </c>
      <c r="AH312" s="178">
        <f t="shared" si="384"/>
        <v>3.459857257878995</v>
      </c>
      <c r="AI312" s="178">
        <f t="shared" si="385"/>
        <v>3.459857257878995</v>
      </c>
      <c r="AJ312" s="178">
        <f t="shared" si="386"/>
        <v>3.1554498206511075</v>
      </c>
      <c r="AL312" s="560">
        <f t="shared" si="387"/>
        <v>752</v>
      </c>
      <c r="AM312" s="470">
        <f t="shared" si="388"/>
        <v>350</v>
      </c>
      <c r="AO312">
        <f t="shared" si="389"/>
        <v>752</v>
      </c>
      <c r="AP312">
        <f t="shared" si="390"/>
        <v>350</v>
      </c>
      <c r="AR312" s="6">
        <f t="shared" si="360"/>
        <v>2.8571428571428572</v>
      </c>
      <c r="AS312" s="6">
        <f t="shared" si="393"/>
        <v>0.57664287631316591</v>
      </c>
      <c r="AT312" s="6">
        <f t="shared" si="394"/>
        <v>2.2804999808296911</v>
      </c>
      <c r="AU312" s="178">
        <f t="shared" si="395"/>
        <v>0.20182500670960807</v>
      </c>
      <c r="AW312" s="6">
        <f>L*Iout^2/(2*Vripple1_spec*Vout*Npri_sec1^2)*1000000000*((1+N312)/(1-N312))^2</f>
        <v>3.8996913580246928</v>
      </c>
      <c r="AX312" s="6">
        <f>L*F312^2/(2*Cout*Vout*Nps^2)*1000000000*((1+N312)/(1-N312))^2+F312*RCoutEsr</f>
        <v>11.053703703703707</v>
      </c>
      <c r="AY312" s="6">
        <f>L*Iout2^2/(2*Vout_ripple2*Vout2*Npri_sec2^2)*1000000000*((1+N312)/(1-N312))^2</f>
        <v>1.5233169367283956</v>
      </c>
      <c r="AZ312" s="6">
        <f>L*G312^2/(2*Cout2*Vout2*Npri_sec2^2)*1000000000*((1+N312)/(1-N312))^2+G312*CoutEsr2</f>
        <v>4.8466030092592591</v>
      </c>
      <c r="BA312" s="6">
        <f>(H312+I312)/Efficiency/J312*AT312/Vinripple1</f>
        <v>1.2416690511050437</v>
      </c>
      <c r="BB312" s="6"/>
      <c r="CE312" s="577">
        <f t="shared" si="391"/>
        <v>-50</v>
      </c>
    </row>
    <row r="313" spans="5:83" x14ac:dyDescent="0.2">
      <c r="E313" s="175">
        <v>95</v>
      </c>
      <c r="F313" s="222">
        <f t="shared" si="392"/>
        <v>0.76</v>
      </c>
      <c r="G313" s="222">
        <f t="shared" si="361"/>
        <v>0.47499999999999998</v>
      </c>
      <c r="H313" s="222">
        <f t="shared" si="362"/>
        <v>9.120000000000001</v>
      </c>
      <c r="I313" s="222">
        <f t="shared" si="363"/>
        <v>5.6999999999999993</v>
      </c>
      <c r="J313" s="556">
        <f t="shared" si="364"/>
        <v>42</v>
      </c>
      <c r="K313" s="452">
        <f t="shared" si="365"/>
        <v>12.25</v>
      </c>
      <c r="L313" s="452">
        <f t="shared" si="366"/>
        <v>54.25</v>
      </c>
      <c r="M313" s="452"/>
      <c r="N313" s="222">
        <f t="shared" si="367"/>
        <v>0.22580645161290322</v>
      </c>
      <c r="O313" s="177">
        <f t="shared" si="368"/>
        <v>11.36605459057072</v>
      </c>
      <c r="P313" s="177">
        <f t="shared" si="369"/>
        <v>11.543649193548385</v>
      </c>
      <c r="Q313" s="222">
        <f t="shared" si="370"/>
        <v>0.94717121588089326</v>
      </c>
      <c r="R313" s="222">
        <f t="shared" si="371"/>
        <v>0.94717121588089326</v>
      </c>
      <c r="S313" s="222">
        <f t="shared" si="372"/>
        <v>12</v>
      </c>
      <c r="T313" s="222">
        <f t="shared" si="373"/>
        <v>3.2897959183673469</v>
      </c>
      <c r="U313" s="222">
        <f t="shared" si="374"/>
        <v>0.54829931972789103</v>
      </c>
      <c r="V313" s="222">
        <f t="shared" si="375"/>
        <v>1.879883381924198</v>
      </c>
      <c r="W313" s="202">
        <f t="shared" si="376"/>
        <v>350</v>
      </c>
      <c r="X313" s="452">
        <f t="shared" si="377"/>
        <v>350</v>
      </c>
      <c r="Z313" s="222">
        <f t="shared" si="378"/>
        <v>3.8709677419354835</v>
      </c>
      <c r="AA313" s="178">
        <f t="shared" si="379"/>
        <v>2.2119815668202762</v>
      </c>
      <c r="AB313" s="178">
        <f t="shared" si="380"/>
        <v>0.92211638517569838</v>
      </c>
      <c r="AC313" s="178"/>
      <c r="AD313" s="178">
        <f t="shared" si="381"/>
        <v>0.46857142857142853</v>
      </c>
      <c r="AE313" s="560">
        <f t="shared" si="382"/>
        <v>3955.9785841760863</v>
      </c>
      <c r="AF313" s="543">
        <f t="shared" si="383"/>
        <v>6.723999999999998E-2</v>
      </c>
      <c r="AH313" s="178">
        <f t="shared" si="384"/>
        <v>3.478212067093303</v>
      </c>
      <c r="AI313" s="178">
        <f t="shared" si="385"/>
        <v>3.478212067093303</v>
      </c>
      <c r="AJ313" s="178">
        <f t="shared" si="386"/>
        <v>3.1690459756246687</v>
      </c>
      <c r="AL313" s="560">
        <f t="shared" si="387"/>
        <v>760</v>
      </c>
      <c r="AM313" s="470">
        <f t="shared" si="388"/>
        <v>350</v>
      </c>
      <c r="AO313">
        <f t="shared" si="389"/>
        <v>760</v>
      </c>
      <c r="AP313">
        <f t="shared" si="390"/>
        <v>350</v>
      </c>
      <c r="AR313" s="6">
        <f t="shared" si="360"/>
        <v>2.8571428571428572</v>
      </c>
      <c r="AS313" s="6">
        <f t="shared" si="393"/>
        <v>0.57970201118221709</v>
      </c>
      <c r="AT313" s="6">
        <f t="shared" si="394"/>
        <v>2.2774408459606401</v>
      </c>
      <c r="AU313" s="178">
        <f t="shared" si="395"/>
        <v>0.20289570391377598</v>
      </c>
      <c r="AW313" s="6">
        <f>L*Iout^2/(2*Vripple1_spec*Vout*Npri_sec1^2)*1000000000*((1+N313)/(1-N313))^2</f>
        <v>3.8996913580246928</v>
      </c>
      <c r="AX313" s="6">
        <f>L*F313^2/(2*Cout*Vout*Nps^2)*1000000000*((1+N313)/(1-N313))^2+F313*RCoutEsr</f>
        <v>11.265884554767535</v>
      </c>
      <c r="AY313" s="6">
        <f>L*Iout2^2/(2*Vout_ripple2*Vout2*Npri_sec2^2)*1000000000*((1+N313)/(1-N313))^2</f>
        <v>1.5233169367283956</v>
      </c>
      <c r="AZ313" s="6">
        <f>L*G313^2/(2*Cout2*Vout2*Npri_sec2^2)*1000000000*((1+N313)/(1-N313))^2+G313*CoutEsr2</f>
        <v>4.9351111542060693</v>
      </c>
      <c r="BA313" s="6">
        <f>(H313+I313)/Efficiency/J313*AT313/Vinripple1</f>
        <v>1.2531949628566486</v>
      </c>
      <c r="BB313" s="6"/>
      <c r="CE313" s="577">
        <f t="shared" si="391"/>
        <v>-50</v>
      </c>
    </row>
    <row r="314" spans="5:83" x14ac:dyDescent="0.2">
      <c r="E314" s="175">
        <v>96</v>
      </c>
      <c r="F314" s="222">
        <f t="shared" si="392"/>
        <v>0.76800000000000002</v>
      </c>
      <c r="G314" s="222">
        <f t="shared" si="361"/>
        <v>0.48</v>
      </c>
      <c r="H314" s="222">
        <f t="shared" si="362"/>
        <v>9.2160000000000011</v>
      </c>
      <c r="I314" s="222">
        <f t="shared" si="363"/>
        <v>5.76</v>
      </c>
      <c r="J314" s="556">
        <f t="shared" si="364"/>
        <v>42</v>
      </c>
      <c r="K314" s="452">
        <f t="shared" si="365"/>
        <v>12.25</v>
      </c>
      <c r="L314" s="452">
        <f t="shared" si="366"/>
        <v>54.25</v>
      </c>
      <c r="M314" s="452"/>
      <c r="N314" s="222">
        <f t="shared" si="367"/>
        <v>0.22580645161290322</v>
      </c>
      <c r="O314" s="177">
        <f t="shared" ref="O314:O318" si="396">N314*J314*Isw_max*0.5*Efficiency*Pout/(Pout+Pout2)</f>
        <v>11.36605459057072</v>
      </c>
      <c r="P314" s="177">
        <f t="shared" si="369"/>
        <v>11.543649193548385</v>
      </c>
      <c r="Q314" s="222">
        <f t="shared" si="370"/>
        <v>0.94717121588089326</v>
      </c>
      <c r="R314" s="222">
        <f t="shared" si="371"/>
        <v>0.94717121588089326</v>
      </c>
      <c r="S314" s="222">
        <f t="shared" si="372"/>
        <v>12</v>
      </c>
      <c r="T314" s="222">
        <f t="shared" si="373"/>
        <v>3.3244253490870035</v>
      </c>
      <c r="U314" s="222">
        <f t="shared" si="374"/>
        <v>0.55407089151450062</v>
      </c>
      <c r="V314" s="222">
        <f t="shared" si="375"/>
        <v>1.8996716280497163</v>
      </c>
      <c r="W314" s="202">
        <f t="shared" si="376"/>
        <v>350</v>
      </c>
      <c r="X314" s="452">
        <f t="shared" si="377"/>
        <v>350</v>
      </c>
      <c r="Z314" s="222">
        <f t="shared" si="378"/>
        <v>3.8709677419354835</v>
      </c>
      <c r="AA314" s="178">
        <f t="shared" si="379"/>
        <v>2.2119815668202762</v>
      </c>
      <c r="AB314" s="178">
        <f t="shared" ref="AB314:AB318" si="397">0.5*AA314*Z314*Nps*W314/1000*(Pout/(Pout+Pout2))</f>
        <v>0.92211638517569838</v>
      </c>
      <c r="AC314" s="178"/>
      <c r="AD314" s="178">
        <f t="shared" si="381"/>
        <v>0.46857142857142853</v>
      </c>
      <c r="AE314" s="560">
        <f t="shared" ref="AE314:AE318" si="398">MAX(10, F314/(0.5*AD314/1000000*Isw_min*Nps)/1000*Pout_total/Pout)</f>
        <v>3997.6204640095193</v>
      </c>
      <c r="AF314" s="543">
        <f t="shared" si="383"/>
        <v>6.723999999999998E-2</v>
      </c>
      <c r="AH314" s="178">
        <f t="shared" si="384"/>
        <v>3.4964705236064808</v>
      </c>
      <c r="AI314" s="178">
        <f t="shared" ref="AI314:AI318" si="399">MAX(IF(F314&gt;AB314,T314,AH314),Isw_min)</f>
        <v>3.4964705236064808</v>
      </c>
      <c r="AJ314" s="178">
        <f t="shared" ref="AJ314:AJ318" si="400">IF(F314&gt;AF314, (AI314-Isw_min)/1.08*0.8+1.2, AE314*0.2/350+1)</f>
        <v>3.1825707582270231</v>
      </c>
      <c r="AL314" s="560">
        <f t="shared" si="387"/>
        <v>768</v>
      </c>
      <c r="AM314" s="470">
        <f t="shared" si="388"/>
        <v>350</v>
      </c>
      <c r="AO314">
        <f t="shared" si="389"/>
        <v>768</v>
      </c>
      <c r="AP314">
        <f t="shared" si="390"/>
        <v>350</v>
      </c>
      <c r="AR314" s="6">
        <f t="shared" si="360"/>
        <v>2.8571428571428572</v>
      </c>
      <c r="AS314" s="6">
        <f t="shared" si="393"/>
        <v>0.58274508726774676</v>
      </c>
      <c r="AT314" s="6">
        <f t="shared" si="394"/>
        <v>2.2743977698751103</v>
      </c>
      <c r="AU314" s="178">
        <f t="shared" si="395"/>
        <v>0.20396078054371136</v>
      </c>
      <c r="AW314" s="6">
        <f>L*Iout^2/(2*Vripple1_spec*Vout*Npri_sec1^2)*1000000000*((1+N314)/(1-N314))^2</f>
        <v>3.8996913580246928</v>
      </c>
      <c r="AX314" s="6">
        <f>L*F314^2/(2*Cout*Vout*Nps^2)*1000000000*((1+N314)/(1-N314))^2+F314*RCoutEsr</f>
        <v>11.480056737588656</v>
      </c>
      <c r="AY314" s="6">
        <f>L*Iout2^2/(2*Vout_ripple2*Vout2*Npri_sec2^2)*1000000000*((1+N314)/(1-N314))^2</f>
        <v>1.5233169367283956</v>
      </c>
      <c r="AZ314" s="6">
        <f>L*G314^2/(2*Cout2*Vout2*Npri_sec2^2)*1000000000*((1+N314)/(1-N314))^2+G314*CoutEsr2</f>
        <v>5.0243971631205682</v>
      </c>
      <c r="BA314" s="6">
        <f>(H314+I314)/Efficiency/J314*AT314/Vinripple1</f>
        <v>1.2646943656047396</v>
      </c>
      <c r="BB314" s="6"/>
      <c r="CE314" s="577">
        <f t="shared" si="391"/>
        <v>-50</v>
      </c>
    </row>
    <row r="315" spans="5:83" x14ac:dyDescent="0.2">
      <c r="E315" s="175">
        <v>97</v>
      </c>
      <c r="F315" s="222">
        <f t="shared" ref="F315:F318" si="401">IF(PLOT_TYPE=1, E315/100*Iout_max, min_I*EXP(O315*rr/100))</f>
        <v>0.77600000000000002</v>
      </c>
      <c r="G315" s="222">
        <f t="shared" si="361"/>
        <v>0.48499999999999999</v>
      </c>
      <c r="H315" s="222">
        <f t="shared" si="362"/>
        <v>9.3120000000000012</v>
      </c>
      <c r="I315" s="222">
        <f t="shared" si="363"/>
        <v>5.82</v>
      </c>
      <c r="J315" s="556">
        <f t="shared" si="364"/>
        <v>42</v>
      </c>
      <c r="K315" s="452">
        <f t="shared" si="365"/>
        <v>12.25</v>
      </c>
      <c r="L315" s="452">
        <f t="shared" si="366"/>
        <v>54.25</v>
      </c>
      <c r="M315" s="452"/>
      <c r="N315" s="222">
        <f t="shared" si="367"/>
        <v>0.22580645161290322</v>
      </c>
      <c r="O315" s="177">
        <f t="shared" si="396"/>
        <v>11.36605459057072</v>
      </c>
      <c r="P315" s="177">
        <f t="shared" si="369"/>
        <v>11.543649193548385</v>
      </c>
      <c r="Q315" s="222">
        <f t="shared" si="370"/>
        <v>0.94717121588089326</v>
      </c>
      <c r="R315" s="222">
        <f t="shared" si="371"/>
        <v>0.94717121588089326</v>
      </c>
      <c r="S315" s="222">
        <f t="shared" si="372"/>
        <v>12</v>
      </c>
      <c r="T315" s="222">
        <f t="shared" si="373"/>
        <v>3.3590547798066597</v>
      </c>
      <c r="U315" s="222">
        <f t="shared" si="374"/>
        <v>0.55984246330110998</v>
      </c>
      <c r="V315" s="222">
        <f t="shared" si="375"/>
        <v>1.919459874175234</v>
      </c>
      <c r="W315" s="202">
        <f t="shared" si="376"/>
        <v>350</v>
      </c>
      <c r="X315" s="452">
        <f t="shared" si="377"/>
        <v>350</v>
      </c>
      <c r="Z315" s="222">
        <f t="shared" si="378"/>
        <v>3.8709677419354835</v>
      </c>
      <c r="AA315" s="178">
        <f t="shared" si="379"/>
        <v>2.2119815668202762</v>
      </c>
      <c r="AB315" s="178">
        <f t="shared" si="397"/>
        <v>0.92211638517569838</v>
      </c>
      <c r="AC315" s="178"/>
      <c r="AD315" s="178">
        <f t="shared" si="381"/>
        <v>0.46857142857142853</v>
      </c>
      <c r="AE315" s="560">
        <f t="shared" si="398"/>
        <v>4039.2623438429514</v>
      </c>
      <c r="AF315" s="543">
        <f t="shared" si="383"/>
        <v>6.723999999999998E-2</v>
      </c>
      <c r="AH315" s="178">
        <f t="shared" si="384"/>
        <v>3.5146341290701213</v>
      </c>
      <c r="AI315" s="178">
        <f t="shared" si="399"/>
        <v>3.5146341290701213</v>
      </c>
      <c r="AJ315" s="178">
        <f t="shared" si="400"/>
        <v>3.1960252807926826</v>
      </c>
      <c r="AL315" s="560">
        <f t="shared" si="387"/>
        <v>776</v>
      </c>
      <c r="AM315" s="470">
        <f t="shared" si="388"/>
        <v>350</v>
      </c>
      <c r="AO315">
        <f t="shared" si="389"/>
        <v>776</v>
      </c>
      <c r="AP315">
        <f t="shared" si="390"/>
        <v>350</v>
      </c>
      <c r="AR315" s="6">
        <f t="shared" si="360"/>
        <v>2.8571428571428572</v>
      </c>
      <c r="AS315" s="6">
        <f t="shared" si="393"/>
        <v>0.58577235484502022</v>
      </c>
      <c r="AT315" s="6">
        <f t="shared" si="394"/>
        <v>2.2713705022978372</v>
      </c>
      <c r="AU315" s="178">
        <f t="shared" si="395"/>
        <v>0.20502032419575708</v>
      </c>
      <c r="AW315" s="6">
        <f>L*Iout^2/(2*Vripple1_spec*Vout*Npri_sec1^2)*1000000000*((1+N315)/(1-N315))^2</f>
        <v>3.8996913580246928</v>
      </c>
      <c r="AX315" s="6">
        <f>L*F315^2/(2*Cout*Vout*Nps^2)*1000000000*((1+N315)/(1-N315))^2+F315*RCoutEsr</f>
        <v>11.696220252167063</v>
      </c>
      <c r="AY315" s="6">
        <f>L*Iout2^2/(2*Vout_ripple2*Vout2*Npri_sec2^2)*1000000000*((1+N315)/(1-N315))^2</f>
        <v>1.5233169367283956</v>
      </c>
      <c r="AZ315" s="6">
        <f>L*G315^2/(2*Cout2*Vout2*Npri_sec2^2)*1000000000*((1+N315)/(1-N315))^2+G315*CoutEsr2</f>
        <v>5.1144610360027585</v>
      </c>
      <c r="BA315" s="6">
        <f>(H315+I315)/Efficiency/J315*AT315/Vinripple1</f>
        <v>1.2761673977822661</v>
      </c>
      <c r="BB315" s="6"/>
      <c r="CE315" s="577">
        <f t="shared" si="391"/>
        <v>-50</v>
      </c>
    </row>
    <row r="316" spans="5:83" x14ac:dyDescent="0.2">
      <c r="E316" s="175">
        <v>98</v>
      </c>
      <c r="F316" s="222">
        <f t="shared" si="401"/>
        <v>0.78400000000000003</v>
      </c>
      <c r="G316" s="222">
        <f t="shared" si="361"/>
        <v>0.49</v>
      </c>
      <c r="H316" s="222">
        <f t="shared" si="362"/>
        <v>9.4080000000000013</v>
      </c>
      <c r="I316" s="222">
        <f t="shared" si="363"/>
        <v>5.88</v>
      </c>
      <c r="J316" s="556">
        <f t="shared" si="364"/>
        <v>42</v>
      </c>
      <c r="K316" s="452">
        <f t="shared" si="365"/>
        <v>12.25</v>
      </c>
      <c r="L316" s="452">
        <f t="shared" si="366"/>
        <v>54.25</v>
      </c>
      <c r="M316" s="452"/>
      <c r="N316" s="222">
        <f t="shared" si="367"/>
        <v>0.22580645161290322</v>
      </c>
      <c r="O316" s="177">
        <f t="shared" si="396"/>
        <v>11.36605459057072</v>
      </c>
      <c r="P316" s="177">
        <f t="shared" si="369"/>
        <v>11.543649193548385</v>
      </c>
      <c r="Q316" s="222">
        <f t="shared" si="370"/>
        <v>0.94717121588089326</v>
      </c>
      <c r="R316" s="222">
        <f t="shared" si="371"/>
        <v>0.94717121588089326</v>
      </c>
      <c r="S316" s="222">
        <f t="shared" si="372"/>
        <v>12</v>
      </c>
      <c r="T316" s="222">
        <f t="shared" si="373"/>
        <v>3.3936842105263159</v>
      </c>
      <c r="U316" s="222">
        <f t="shared" si="374"/>
        <v>0.56561403508771924</v>
      </c>
      <c r="V316" s="222">
        <f t="shared" si="375"/>
        <v>1.9392481203007519</v>
      </c>
      <c r="W316" s="202">
        <f t="shared" si="376"/>
        <v>350</v>
      </c>
      <c r="X316" s="452">
        <f t="shared" si="377"/>
        <v>350</v>
      </c>
      <c r="Z316" s="222">
        <f t="shared" si="378"/>
        <v>3.8709677419354835</v>
      </c>
      <c r="AA316" s="178">
        <f t="shared" si="379"/>
        <v>2.2119815668202762</v>
      </c>
      <c r="AB316" s="178">
        <f t="shared" si="397"/>
        <v>0.92211638517569838</v>
      </c>
      <c r="AC316" s="178"/>
      <c r="AD316" s="178">
        <f t="shared" si="381"/>
        <v>0.46857142857142853</v>
      </c>
      <c r="AE316" s="560">
        <f t="shared" si="398"/>
        <v>4080.9042236763839</v>
      </c>
      <c r="AF316" s="543">
        <f t="shared" si="383"/>
        <v>6.723999999999998E-2</v>
      </c>
      <c r="AH316" s="178">
        <f t="shared" si="384"/>
        <v>3.5327043465311387</v>
      </c>
      <c r="AI316" s="178">
        <f t="shared" si="399"/>
        <v>3.5327043465311387</v>
      </c>
      <c r="AJ316" s="178">
        <f t="shared" si="400"/>
        <v>3.2094106270601026</v>
      </c>
      <c r="AL316" s="560">
        <f t="shared" si="387"/>
        <v>784</v>
      </c>
      <c r="AM316" s="470">
        <f t="shared" si="388"/>
        <v>350</v>
      </c>
      <c r="AO316">
        <f t="shared" si="389"/>
        <v>784</v>
      </c>
      <c r="AP316">
        <f t="shared" si="390"/>
        <v>350</v>
      </c>
      <c r="AR316" s="6">
        <f t="shared" si="360"/>
        <v>2.8571428571428572</v>
      </c>
      <c r="AS316" s="6">
        <f t="shared" si="393"/>
        <v>0.58878405775518972</v>
      </c>
      <c r="AT316" s="6">
        <f t="shared" si="394"/>
        <v>2.2683587993876673</v>
      </c>
      <c r="AU316" s="178">
        <f t="shared" si="395"/>
        <v>0.20607442021431641</v>
      </c>
      <c r="AW316" s="6">
        <f>L*Iout^2/(2*Vripple1_spec*Vout*Npri_sec1^2)*1000000000*((1+N316)/(1-N316))^2</f>
        <v>3.8996913580246928</v>
      </c>
      <c r="AX316" s="6">
        <f>L*F316^2/(2*Cout*Vout*Nps^2)*1000000000*((1+N316)/(1-N316))^2+F316*RCoutEsr</f>
        <v>11.914375098502763</v>
      </c>
      <c r="AY316" s="6">
        <f>L*Iout2^2/(2*Vout_ripple2*Vout2*Npri_sec2^2)*1000000000*((1+N316)/(1-N316))^2</f>
        <v>1.5233169367283956</v>
      </c>
      <c r="AZ316" s="6">
        <f>L*G316^2/(2*Cout2*Vout2*Npri_sec2^2)*1000000000*((1+N316)/(1-N316))^2+G316*CoutEsr2</f>
        <v>5.2053027728526402</v>
      </c>
      <c r="BA316" s="6">
        <f>(H316+I316)/Efficiency/J316*AT316/Vinripple1</f>
        <v>1.2876141956758065</v>
      </c>
      <c r="BB316" s="6"/>
      <c r="CE316" s="577">
        <f t="shared" si="391"/>
        <v>-50</v>
      </c>
    </row>
    <row r="317" spans="5:83" x14ac:dyDescent="0.2">
      <c r="E317" s="175">
        <v>99</v>
      </c>
      <c r="F317" s="222">
        <f t="shared" si="401"/>
        <v>0.79200000000000004</v>
      </c>
      <c r="G317" s="222">
        <f t="shared" si="361"/>
        <v>0.495</v>
      </c>
      <c r="H317" s="222">
        <f t="shared" si="362"/>
        <v>9.5040000000000013</v>
      </c>
      <c r="I317" s="222">
        <f t="shared" si="363"/>
        <v>5.9399999999999995</v>
      </c>
      <c r="J317" s="556">
        <f t="shared" si="364"/>
        <v>42</v>
      </c>
      <c r="K317" s="452">
        <f t="shared" si="365"/>
        <v>12.25</v>
      </c>
      <c r="L317" s="452">
        <f t="shared" si="366"/>
        <v>54.25</v>
      </c>
      <c r="M317" s="452"/>
      <c r="N317" s="222">
        <f t="shared" si="367"/>
        <v>0.22580645161290322</v>
      </c>
      <c r="O317" s="177">
        <f t="shared" si="396"/>
        <v>11.36605459057072</v>
      </c>
      <c r="P317" s="177">
        <f t="shared" si="369"/>
        <v>11.543649193548385</v>
      </c>
      <c r="Q317" s="222">
        <f t="shared" si="370"/>
        <v>0.94717121588089326</v>
      </c>
      <c r="R317" s="222">
        <f t="shared" si="371"/>
        <v>0.94717121588089326</v>
      </c>
      <c r="S317" s="222">
        <f t="shared" si="372"/>
        <v>12</v>
      </c>
      <c r="T317" s="222">
        <f t="shared" si="373"/>
        <v>3.428313641245972</v>
      </c>
      <c r="U317" s="222">
        <f t="shared" si="374"/>
        <v>0.57138560687432871</v>
      </c>
      <c r="V317" s="222">
        <f t="shared" si="375"/>
        <v>1.95903636642627</v>
      </c>
      <c r="W317" s="202">
        <f t="shared" si="376"/>
        <v>350</v>
      </c>
      <c r="X317" s="452">
        <f t="shared" si="377"/>
        <v>350</v>
      </c>
      <c r="Z317" s="222">
        <f t="shared" si="378"/>
        <v>3.8709677419354835</v>
      </c>
      <c r="AA317" s="178">
        <f t="shared" si="379"/>
        <v>2.2119815668202762</v>
      </c>
      <c r="AB317" s="178">
        <f t="shared" si="397"/>
        <v>0.92211638517569838</v>
      </c>
      <c r="AC317" s="178"/>
      <c r="AD317" s="178">
        <f t="shared" si="381"/>
        <v>0.46857142857142853</v>
      </c>
      <c r="AE317" s="560">
        <f t="shared" si="398"/>
        <v>4122.5461035098169</v>
      </c>
      <c r="AF317" s="543">
        <f t="shared" si="383"/>
        <v>6.723999999999998E-2</v>
      </c>
      <c r="AH317" s="178">
        <f t="shared" si="384"/>
        <v>3.5506826018070821</v>
      </c>
      <c r="AI317" s="178">
        <f t="shared" si="399"/>
        <v>3.5506826018070821</v>
      </c>
      <c r="AJ317" s="178">
        <f t="shared" si="400"/>
        <v>3.2227278531904311</v>
      </c>
      <c r="AL317" s="560">
        <f t="shared" si="387"/>
        <v>792</v>
      </c>
      <c r="AM317" s="470">
        <f t="shared" si="388"/>
        <v>350</v>
      </c>
      <c r="AO317">
        <f t="shared" si="389"/>
        <v>792</v>
      </c>
      <c r="AP317">
        <f t="shared" si="390"/>
        <v>350</v>
      </c>
      <c r="AR317" s="6">
        <f t="shared" si="360"/>
        <v>2.8571428571428572</v>
      </c>
      <c r="AS317" s="6">
        <f t="shared" si="393"/>
        <v>0.59178043363451371</v>
      </c>
      <c r="AT317" s="6">
        <f t="shared" si="394"/>
        <v>2.2653624235083436</v>
      </c>
      <c r="AU317" s="178">
        <f t="shared" si="395"/>
        <v>0.20712315177207979</v>
      </c>
      <c r="AW317" s="6">
        <f>L*Iout^2/(2*Vripple1_spec*Vout*Npri_sec1^2)*1000000000*((1+N317)/(1-N317))^2</f>
        <v>3.8996913580246928</v>
      </c>
      <c r="AX317" s="6">
        <f>L*F317^2/(2*Cout*Vout*Nps^2)*1000000000*((1+N317)/(1-N317))^2+F317*RCoutEsr</f>
        <v>12.134521276595748</v>
      </c>
      <c r="AY317" s="6">
        <f>L*Iout2^2/(2*Vout_ripple2*Vout2*Npri_sec2^2)*1000000000*((1+N317)/(1-N317))^2</f>
        <v>1.5233169367283956</v>
      </c>
      <c r="AZ317" s="6">
        <f>L*G317^2/(2*Cout2*Vout2*Npri_sec2^2)*1000000000*((1+N317)/(1-N317))^2+G317*CoutEsr2</f>
        <v>5.2969223736702133</v>
      </c>
      <c r="BA317" s="6">
        <f>(H317+I317)/Efficiency/J317*AT317/Vinripple1</f>
        <v>1.2990348934804739</v>
      </c>
      <c r="BB317" s="6"/>
      <c r="CE317" s="577">
        <f t="shared" si="391"/>
        <v>-50</v>
      </c>
    </row>
    <row r="318" spans="5:83" x14ac:dyDescent="0.2">
      <c r="E318" s="175">
        <v>100</v>
      </c>
      <c r="F318" s="222">
        <f t="shared" si="401"/>
        <v>0.8</v>
      </c>
      <c r="G318" s="222">
        <f t="shared" si="361"/>
        <v>0.5</v>
      </c>
      <c r="H318" s="222">
        <f t="shared" si="362"/>
        <v>9.6000000000000014</v>
      </c>
      <c r="I318" s="222">
        <f t="shared" si="363"/>
        <v>6</v>
      </c>
      <c r="J318" s="556">
        <f t="shared" si="364"/>
        <v>42</v>
      </c>
      <c r="K318" s="452">
        <f t="shared" si="365"/>
        <v>12.25</v>
      </c>
      <c r="L318" s="452">
        <f t="shared" si="366"/>
        <v>54.25</v>
      </c>
      <c r="M318" s="452"/>
      <c r="N318" s="222">
        <f t="shared" si="367"/>
        <v>0.22580645161290322</v>
      </c>
      <c r="O318" s="177">
        <f t="shared" si="396"/>
        <v>11.36605459057072</v>
      </c>
      <c r="P318" s="177">
        <f t="shared" si="369"/>
        <v>11.543649193548385</v>
      </c>
      <c r="Q318" s="222">
        <f t="shared" si="370"/>
        <v>0.94717121588089326</v>
      </c>
      <c r="R318" s="222">
        <f t="shared" si="371"/>
        <v>0.94717121588089326</v>
      </c>
      <c r="S318" s="222">
        <f t="shared" si="372"/>
        <v>12</v>
      </c>
      <c r="T318" s="222">
        <f t="shared" si="373"/>
        <v>3.4629430719656287</v>
      </c>
      <c r="U318" s="222">
        <f t="shared" si="374"/>
        <v>0.57715717866093807</v>
      </c>
      <c r="V318" s="222">
        <f t="shared" si="375"/>
        <v>1.9788246125517877</v>
      </c>
      <c r="W318" s="202">
        <f t="shared" si="376"/>
        <v>350</v>
      </c>
      <c r="X318" s="452">
        <f t="shared" si="377"/>
        <v>350</v>
      </c>
      <c r="Z318" s="222">
        <f t="shared" si="378"/>
        <v>3.8709677419354835</v>
      </c>
      <c r="AA318" s="178">
        <f t="shared" si="379"/>
        <v>2.2119815668202762</v>
      </c>
      <c r="AB318" s="178">
        <f t="shared" si="397"/>
        <v>0.92211638517569838</v>
      </c>
      <c r="AC318" s="178"/>
      <c r="AD318" s="178">
        <f t="shared" si="381"/>
        <v>0.46857142857142853</v>
      </c>
      <c r="AE318" s="560">
        <f t="shared" si="398"/>
        <v>4164.1879833432495</v>
      </c>
      <c r="AF318" s="543">
        <f t="shared" si="383"/>
        <v>6.723999999999998E-2</v>
      </c>
      <c r="AH318" s="178">
        <f t="shared" si="384"/>
        <v>3.5685702847990846</v>
      </c>
      <c r="AI318" s="178">
        <f t="shared" si="399"/>
        <v>3.5685702847990846</v>
      </c>
      <c r="AJ318" s="178">
        <f t="shared" si="400"/>
        <v>3.2359779887400624</v>
      </c>
      <c r="AL318" s="560">
        <f t="shared" si="387"/>
        <v>800</v>
      </c>
      <c r="AM318" s="470">
        <f t="shared" si="388"/>
        <v>350</v>
      </c>
      <c r="AO318">
        <f t="shared" si="389"/>
        <v>800</v>
      </c>
      <c r="AP318">
        <f t="shared" si="390"/>
        <v>350</v>
      </c>
      <c r="AR318" s="6">
        <f t="shared" si="360"/>
        <v>2.8571428571428572</v>
      </c>
      <c r="AS318" s="6">
        <f t="shared" si="393"/>
        <v>0.59476171413318069</v>
      </c>
      <c r="AT318" s="6">
        <f t="shared" si="394"/>
        <v>2.2623811430096765</v>
      </c>
      <c r="AU318" s="178">
        <f t="shared" si="395"/>
        <v>0.20816659994661324</v>
      </c>
      <c r="AW318" s="6">
        <f>L*Iout^2/(2*Vripple1_spec*Vout*Npri_sec1^2)*1000000000*((1+N318)/(1-N318))^2</f>
        <v>3.8996913580246928</v>
      </c>
      <c r="AX318" s="6">
        <f>L*F318^2/(2*Cout*Vout*Nps^2)*1000000000*((1+N318)/(1-N318))^2+F318*RCoutEsr</f>
        <v>12.356658786446026</v>
      </c>
      <c r="AY318" s="6">
        <f>L*Iout2^2/(2*Vout_ripple2*Vout2*Npri_sec2^2)*1000000000*((1+N318)/(1-N318))^2</f>
        <v>1.5233169367283956</v>
      </c>
      <c r="AZ318" s="6">
        <f>L*G318^2/(2*Cout2*Vout2*Npri_sec2^2)*1000000000*((1+N318)/(1-N318))^2+G318*CoutEsr2</f>
        <v>5.3893198384554779</v>
      </c>
      <c r="BA318" s="6">
        <f>(H318+I318)/Efficiency/J318*AT318/Vinripple1</f>
        <v>1.3104296233528621</v>
      </c>
      <c r="BB318" s="6"/>
      <c r="CE318" s="577">
        <f t="shared" si="391"/>
        <v>-50</v>
      </c>
    </row>
    <row r="319" spans="5:83" x14ac:dyDescent="0.2">
      <c r="E319" s="175"/>
      <c r="F319" s="222"/>
      <c r="G319" s="222"/>
    </row>
  </sheetData>
  <mergeCells count="2">
    <mergeCell ref="N3:Z3"/>
    <mergeCell ref="AW3:BA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C3:S106"/>
  <sheetViews>
    <sheetView workbookViewId="0">
      <selection activeCell="V6" sqref="V6"/>
    </sheetView>
  </sheetViews>
  <sheetFormatPr defaultRowHeight="12.75" x14ac:dyDescent="0.2"/>
  <cols>
    <col min="3" max="3" width="7.7109375" customWidth="1"/>
    <col min="5" max="5" width="10.28515625" customWidth="1"/>
    <col min="7" max="7" width="10.7109375" customWidth="1"/>
    <col min="8" max="8" width="9.7109375" customWidth="1"/>
    <col min="9" max="9" width="9.5703125" customWidth="1"/>
    <col min="10" max="10" width="8.7109375" customWidth="1"/>
    <col min="11" max="11" width="9.85546875" customWidth="1"/>
    <col min="12" max="12" width="10.7109375" customWidth="1"/>
    <col min="13" max="13" width="15" customWidth="1"/>
    <col min="14" max="14" width="11.42578125" customWidth="1"/>
    <col min="15" max="16" width="11" customWidth="1"/>
    <col min="17" max="17" width="11.140625" customWidth="1"/>
    <col min="18" max="18" width="11.28515625" customWidth="1"/>
    <col min="19" max="19" width="5.140625" customWidth="1"/>
  </cols>
  <sheetData>
    <row r="3" spans="3:19" ht="13.5" thickBot="1" x14ac:dyDescent="0.25"/>
    <row r="4" spans="3:19" x14ac:dyDescent="0.2">
      <c r="C4" s="225" t="s">
        <v>432</v>
      </c>
      <c r="D4" s="226"/>
      <c r="E4" s="227"/>
      <c r="F4" s="691" t="s">
        <v>190</v>
      </c>
      <c r="G4" s="692"/>
      <c r="H4" s="691"/>
      <c r="I4" s="691"/>
      <c r="J4" s="691"/>
      <c r="K4" s="692"/>
      <c r="L4" s="692"/>
      <c r="M4" s="692"/>
      <c r="N4" s="691"/>
      <c r="O4" s="694"/>
      <c r="P4" s="548"/>
      <c r="Q4" s="548"/>
      <c r="R4" s="548"/>
      <c r="S4" s="548"/>
    </row>
    <row r="5" spans="3:19" ht="45" customHeight="1" thickBot="1" x14ac:dyDescent="0.25">
      <c r="C5" s="246" t="s">
        <v>25</v>
      </c>
      <c r="D5" s="247" t="s">
        <v>423</v>
      </c>
      <c r="E5" s="248" t="s">
        <v>429</v>
      </c>
      <c r="F5" s="249" t="s">
        <v>48</v>
      </c>
      <c r="G5" s="542" t="s">
        <v>413</v>
      </c>
      <c r="H5" s="542" t="s">
        <v>414</v>
      </c>
      <c r="I5" s="542" t="s">
        <v>424</v>
      </c>
      <c r="J5" s="542" t="s">
        <v>425</v>
      </c>
      <c r="K5" s="542" t="s">
        <v>426</v>
      </c>
      <c r="L5" s="542" t="s">
        <v>427</v>
      </c>
      <c r="M5" s="251" t="s">
        <v>430</v>
      </c>
      <c r="N5" s="250" t="s">
        <v>431</v>
      </c>
      <c r="O5" s="250" t="s">
        <v>428</v>
      </c>
      <c r="P5" s="250" t="s">
        <v>433</v>
      </c>
      <c r="Q5" s="250" t="s">
        <v>434</v>
      </c>
      <c r="R5" s="250" t="s">
        <v>435</v>
      </c>
      <c r="S5" s="250"/>
    </row>
    <row r="6" spans="3:19" x14ac:dyDescent="0.2">
      <c r="C6" s="175">
        <v>0.1</v>
      </c>
      <c r="D6" s="544">
        <f>VIN_min</f>
        <v>9</v>
      </c>
      <c r="E6" s="452">
        <f t="shared" ref="E6:E37" si="0">(Vout+Vfwd1)*Nps</f>
        <v>12.25</v>
      </c>
      <c r="F6" s="222">
        <f t="shared" ref="F6:F37" si="1">(Vout+Vfwd1)*Nps/((Vout+Vfwd1)*Nps+D6)</f>
        <v>0.57647058823529407</v>
      </c>
      <c r="G6" s="177">
        <f t="shared" ref="G6:G37" si="2">F6*D6*Isw_max*0.5*Efficiency</f>
        <v>10.104088235294114</v>
      </c>
      <c r="H6" s="222">
        <f t="shared" ref="H6:H37" si="3">G6/Vout</f>
        <v>0.84200735294117612</v>
      </c>
      <c r="I6" s="452">
        <f t="shared" ref="I6:I37" si="4">(Vout+Vfwd1)*Nps+D6</f>
        <v>21.25</v>
      </c>
      <c r="J6" s="177">
        <f t="shared" ref="J6:J37" si="5">MIN(2*Vout*Iout/(Efficiency*D6*F6), 1.35)</f>
        <v>1.35</v>
      </c>
      <c r="K6" s="177">
        <f t="shared" ref="K6:K37" si="6">L*J6/D6*1000000</f>
        <v>1.05</v>
      </c>
      <c r="L6" s="177">
        <f t="shared" ref="L6:L37" si="7">L*J6/((Vout+Vfwd1)*Nps)*1000000</f>
        <v>0.77142857142857146</v>
      </c>
      <c r="M6" s="452">
        <f>MIN(1/(K6+L6)*1000, 350)</f>
        <v>350</v>
      </c>
      <c r="N6" s="202">
        <f t="shared" ref="N6:N37" si="8">IF(1/((350000*L)*(1/D6+1/E6))&gt;Isw_min, 350, 0.001/((Isw_min*L)*(1/D6+1/E6)))</f>
        <v>350</v>
      </c>
      <c r="O6" s="222">
        <f t="shared" ref="O6:O37" si="9">1/((N6*1000*L)*(1/D6+1/E6))</f>
        <v>2.1176470588235294</v>
      </c>
      <c r="P6" s="178">
        <f t="shared" ref="P6:P37" si="10">L*O6/E6*1000000</f>
        <v>1.2100840336134453</v>
      </c>
      <c r="Q6" s="178">
        <f t="shared" ref="Q6:Q37" si="11">0.5*P6*O6*Nps*N6/1000</f>
        <v>0.4484429065743944</v>
      </c>
      <c r="R6" s="178">
        <f t="shared" ref="R6:R37" si="12">L*Isw_min/E6*1000000</f>
        <v>0.46857142857142853</v>
      </c>
    </row>
    <row r="7" spans="3:19" x14ac:dyDescent="0.2">
      <c r="C7" s="175">
        <v>1</v>
      </c>
      <c r="D7" s="6">
        <f t="shared" ref="D7:D38" si="13">C7/100*(VIN_max-VIN_min)+VIN_min</f>
        <v>9.33</v>
      </c>
      <c r="E7" s="452">
        <f t="shared" si="0"/>
        <v>12.25</v>
      </c>
      <c r="F7" s="222">
        <f t="shared" si="1"/>
        <v>0.5676552363299352</v>
      </c>
      <c r="G7" s="177">
        <f t="shared" si="2"/>
        <v>10.314394983781277</v>
      </c>
      <c r="H7" s="222">
        <f t="shared" si="3"/>
        <v>0.85953291531510645</v>
      </c>
      <c r="I7" s="452">
        <f t="shared" si="4"/>
        <v>21.58</v>
      </c>
      <c r="J7" s="177">
        <f t="shared" si="5"/>
        <v>1.35</v>
      </c>
      <c r="K7" s="177">
        <f t="shared" si="6"/>
        <v>1.0128617363344052</v>
      </c>
      <c r="L7" s="177">
        <f t="shared" si="7"/>
        <v>0.77142857142857146</v>
      </c>
      <c r="M7" s="452">
        <f t="shared" ref="M7:M70" si="14">MIN(1/(K7+L7)*1000, 350)</f>
        <v>350</v>
      </c>
      <c r="N7" s="202">
        <f t="shared" si="8"/>
        <v>350</v>
      </c>
      <c r="O7" s="222">
        <f t="shared" si="9"/>
        <v>2.1617238183503247</v>
      </c>
      <c r="P7" s="178">
        <f t="shared" si="10"/>
        <v>1.2352707533430425</v>
      </c>
      <c r="Q7" s="178">
        <f t="shared" si="11"/>
        <v>0.46730498668231069</v>
      </c>
      <c r="R7" s="178">
        <f t="shared" si="12"/>
        <v>0.46857142857142853</v>
      </c>
    </row>
    <row r="8" spans="3:19" x14ac:dyDescent="0.2">
      <c r="C8" s="175">
        <v>2</v>
      </c>
      <c r="D8" s="6">
        <f t="shared" si="13"/>
        <v>9.66</v>
      </c>
      <c r="E8" s="452">
        <f t="shared" si="0"/>
        <v>12.25</v>
      </c>
      <c r="F8" s="222">
        <f t="shared" si="1"/>
        <v>0.5591054313099042</v>
      </c>
      <c r="G8" s="177">
        <f t="shared" si="2"/>
        <v>10.518366613418531</v>
      </c>
      <c r="H8" s="222">
        <f t="shared" si="3"/>
        <v>0.87653055111821088</v>
      </c>
      <c r="I8" s="452">
        <f t="shared" si="4"/>
        <v>21.91</v>
      </c>
      <c r="J8" s="177">
        <f t="shared" si="5"/>
        <v>1.35</v>
      </c>
      <c r="K8" s="177">
        <f t="shared" si="6"/>
        <v>0.97826086956521752</v>
      </c>
      <c r="L8" s="177">
        <f t="shared" si="7"/>
        <v>0.77142857142857146</v>
      </c>
      <c r="M8" s="452">
        <f t="shared" si="14"/>
        <v>350</v>
      </c>
      <c r="N8" s="202">
        <f t="shared" si="8"/>
        <v>350</v>
      </c>
      <c r="O8" s="222">
        <f t="shared" si="9"/>
        <v>2.2044728434504792</v>
      </c>
      <c r="P8" s="178">
        <f t="shared" si="10"/>
        <v>1.2596987676859879</v>
      </c>
      <c r="Q8" s="178">
        <f t="shared" si="11"/>
        <v>0.485970051751064</v>
      </c>
      <c r="R8" s="178">
        <f t="shared" si="12"/>
        <v>0.46857142857142853</v>
      </c>
    </row>
    <row r="9" spans="3:19" x14ac:dyDescent="0.2">
      <c r="C9" s="175">
        <v>3</v>
      </c>
      <c r="D9" s="6">
        <f t="shared" si="13"/>
        <v>9.99</v>
      </c>
      <c r="E9" s="452">
        <f t="shared" si="0"/>
        <v>12.25</v>
      </c>
      <c r="F9" s="222">
        <f t="shared" si="1"/>
        <v>0.55080935251798557</v>
      </c>
      <c r="G9" s="177">
        <f t="shared" si="2"/>
        <v>10.716285128147481</v>
      </c>
      <c r="H9" s="222">
        <f t="shared" si="3"/>
        <v>0.89302376067895672</v>
      </c>
      <c r="I9" s="452">
        <f t="shared" si="4"/>
        <v>22.240000000000002</v>
      </c>
      <c r="J9" s="177">
        <f t="shared" si="5"/>
        <v>1.35</v>
      </c>
      <c r="K9" s="177">
        <f t="shared" si="6"/>
        <v>0.94594594594594594</v>
      </c>
      <c r="L9" s="177">
        <f t="shared" si="7"/>
        <v>0.77142857142857146</v>
      </c>
      <c r="M9" s="452">
        <f t="shared" si="14"/>
        <v>350</v>
      </c>
      <c r="N9" s="202">
        <f t="shared" si="8"/>
        <v>350</v>
      </c>
      <c r="O9" s="222">
        <f t="shared" si="9"/>
        <v>2.2459532374100717</v>
      </c>
      <c r="P9" s="178">
        <f t="shared" si="10"/>
        <v>1.2834018499486122</v>
      </c>
      <c r="Q9" s="178">
        <f t="shared" si="11"/>
        <v>0.50443059446327809</v>
      </c>
      <c r="R9" s="178">
        <f t="shared" si="12"/>
        <v>0.46857142857142853</v>
      </c>
    </row>
    <row r="10" spans="3:19" x14ac:dyDescent="0.2">
      <c r="C10" s="175">
        <v>4</v>
      </c>
      <c r="D10" s="6">
        <f t="shared" si="13"/>
        <v>10.32</v>
      </c>
      <c r="E10" s="452">
        <f t="shared" si="0"/>
        <v>12.25</v>
      </c>
      <c r="F10" s="222">
        <f t="shared" si="1"/>
        <v>0.54275587062472308</v>
      </c>
      <c r="G10" s="177">
        <f t="shared" si="2"/>
        <v>10.908416038989808</v>
      </c>
      <c r="H10" s="222">
        <f t="shared" si="3"/>
        <v>0.90903466991581727</v>
      </c>
      <c r="I10" s="452">
        <f t="shared" si="4"/>
        <v>22.57</v>
      </c>
      <c r="J10" s="177">
        <f t="shared" si="5"/>
        <v>1.35</v>
      </c>
      <c r="K10" s="177">
        <f t="shared" si="6"/>
        <v>0.91569767441860472</v>
      </c>
      <c r="L10" s="177">
        <f t="shared" si="7"/>
        <v>0.77142857142857146</v>
      </c>
      <c r="M10" s="452">
        <f t="shared" si="14"/>
        <v>350</v>
      </c>
      <c r="N10" s="202">
        <f t="shared" si="8"/>
        <v>350</v>
      </c>
      <c r="O10" s="222">
        <f t="shared" si="9"/>
        <v>2.2862206468763846</v>
      </c>
      <c r="P10" s="178">
        <f t="shared" si="10"/>
        <v>1.3064117982150771</v>
      </c>
      <c r="Q10" s="178">
        <f t="shared" si="11"/>
        <v>0.52268048462038752</v>
      </c>
      <c r="R10" s="178">
        <f t="shared" si="12"/>
        <v>0.46857142857142853</v>
      </c>
    </row>
    <row r="11" spans="3:19" x14ac:dyDescent="0.2">
      <c r="C11" s="175">
        <v>5</v>
      </c>
      <c r="D11" s="6">
        <f t="shared" si="13"/>
        <v>10.65</v>
      </c>
      <c r="E11" s="452">
        <f t="shared" si="0"/>
        <v>12.25</v>
      </c>
      <c r="F11" s="222">
        <f t="shared" si="1"/>
        <v>0.53493449781659397</v>
      </c>
      <c r="G11" s="177">
        <f t="shared" si="2"/>
        <v>11.095009552401747</v>
      </c>
      <c r="H11" s="222">
        <f t="shared" si="3"/>
        <v>0.92458412936681222</v>
      </c>
      <c r="I11" s="452">
        <f t="shared" si="4"/>
        <v>22.9</v>
      </c>
      <c r="J11" s="177">
        <f t="shared" si="5"/>
        <v>1.35</v>
      </c>
      <c r="K11" s="177">
        <f t="shared" si="6"/>
        <v>0.88732394366197187</v>
      </c>
      <c r="L11" s="177">
        <f t="shared" si="7"/>
        <v>0.77142857142857146</v>
      </c>
      <c r="M11" s="452">
        <f t="shared" si="14"/>
        <v>350</v>
      </c>
      <c r="N11" s="202">
        <f t="shared" si="8"/>
        <v>350</v>
      </c>
      <c r="O11" s="222">
        <f t="shared" si="9"/>
        <v>2.3253275109170302</v>
      </c>
      <c r="P11" s="178">
        <f t="shared" si="10"/>
        <v>1.3287585776668744</v>
      </c>
      <c r="Q11" s="178">
        <f t="shared" si="11"/>
        <v>0.54071480330275912</v>
      </c>
      <c r="R11" s="178">
        <f t="shared" si="12"/>
        <v>0.46857142857142853</v>
      </c>
    </row>
    <row r="12" spans="3:19" x14ac:dyDescent="0.2">
      <c r="C12" s="175">
        <v>6</v>
      </c>
      <c r="D12" s="6">
        <f t="shared" si="13"/>
        <v>10.98</v>
      </c>
      <c r="E12" s="452">
        <f t="shared" si="0"/>
        <v>12.25</v>
      </c>
      <c r="F12" s="222">
        <f t="shared" si="1"/>
        <v>0.5273353422298751</v>
      </c>
      <c r="G12" s="177">
        <f t="shared" si="2"/>
        <v>11.276301657339644</v>
      </c>
      <c r="H12" s="222">
        <f t="shared" si="3"/>
        <v>0.93969180477830372</v>
      </c>
      <c r="I12" s="452">
        <f t="shared" si="4"/>
        <v>23.23</v>
      </c>
      <c r="J12" s="177">
        <f t="shared" si="5"/>
        <v>1.35</v>
      </c>
      <c r="K12" s="177">
        <f t="shared" si="6"/>
        <v>0.8606557377049181</v>
      </c>
      <c r="L12" s="177">
        <f t="shared" si="7"/>
        <v>0.77142857142857146</v>
      </c>
      <c r="M12" s="452">
        <f t="shared" si="14"/>
        <v>350</v>
      </c>
      <c r="N12" s="202">
        <f t="shared" si="8"/>
        <v>350</v>
      </c>
      <c r="O12" s="222">
        <f t="shared" si="9"/>
        <v>2.3633232888506241</v>
      </c>
      <c r="P12" s="178">
        <f t="shared" si="10"/>
        <v>1.3504704507717853</v>
      </c>
      <c r="Q12" s="178">
        <f t="shared" si="11"/>
        <v>0.55852969676237307</v>
      </c>
      <c r="R12" s="178">
        <f t="shared" si="12"/>
        <v>0.46857142857142853</v>
      </c>
    </row>
    <row r="13" spans="3:19" x14ac:dyDescent="0.2">
      <c r="C13" s="175">
        <v>7</v>
      </c>
      <c r="D13" s="6">
        <f t="shared" si="13"/>
        <v>11.31</v>
      </c>
      <c r="E13" s="452">
        <f t="shared" si="0"/>
        <v>12.25</v>
      </c>
      <c r="F13" s="222">
        <f t="shared" si="1"/>
        <v>0.5199490662139219</v>
      </c>
      <c r="G13" s="177">
        <f t="shared" si="2"/>
        <v>11.452515120967741</v>
      </c>
      <c r="H13" s="222">
        <f t="shared" si="3"/>
        <v>0.95437626008064502</v>
      </c>
      <c r="I13" s="452">
        <f t="shared" si="4"/>
        <v>23.560000000000002</v>
      </c>
      <c r="J13" s="177">
        <f t="shared" si="5"/>
        <v>1.35</v>
      </c>
      <c r="K13" s="177">
        <f t="shared" si="6"/>
        <v>0.83554376657824947</v>
      </c>
      <c r="L13" s="177">
        <f t="shared" si="7"/>
        <v>0.77142857142857146</v>
      </c>
      <c r="M13" s="452">
        <f t="shared" si="14"/>
        <v>350</v>
      </c>
      <c r="N13" s="202">
        <f t="shared" si="8"/>
        <v>350</v>
      </c>
      <c r="O13" s="222">
        <f t="shared" si="9"/>
        <v>2.400254668930391</v>
      </c>
      <c r="P13" s="178">
        <f t="shared" si="10"/>
        <v>1.3715740965316521</v>
      </c>
      <c r="Q13" s="178">
        <f t="shared" si="11"/>
        <v>0.57612224757221409</v>
      </c>
      <c r="R13" s="178">
        <f t="shared" si="12"/>
        <v>0.46857142857142853</v>
      </c>
    </row>
    <row r="14" spans="3:19" s="77" customFormat="1" x14ac:dyDescent="0.2">
      <c r="C14" s="194">
        <v>8</v>
      </c>
      <c r="D14" s="549">
        <f t="shared" si="13"/>
        <v>11.64</v>
      </c>
      <c r="E14" s="550">
        <f t="shared" si="0"/>
        <v>12.25</v>
      </c>
      <c r="F14" s="334">
        <f t="shared" si="1"/>
        <v>0.51276684805357886</v>
      </c>
      <c r="G14" s="551">
        <f t="shared" si="2"/>
        <v>11.623860401841773</v>
      </c>
      <c r="H14" s="334">
        <f t="shared" si="3"/>
        <v>0.96865503348681437</v>
      </c>
      <c r="I14" s="550">
        <f t="shared" si="4"/>
        <v>23.89</v>
      </c>
      <c r="J14" s="177">
        <f t="shared" si="5"/>
        <v>1.35</v>
      </c>
      <c r="K14" s="551">
        <f t="shared" si="6"/>
        <v>0.81185567010309279</v>
      </c>
      <c r="L14" s="551">
        <f t="shared" si="7"/>
        <v>0.77142857142857146</v>
      </c>
      <c r="M14" s="550">
        <f t="shared" si="14"/>
        <v>350</v>
      </c>
      <c r="N14" s="552">
        <f t="shared" si="8"/>
        <v>350</v>
      </c>
      <c r="O14" s="334">
        <f t="shared" si="9"/>
        <v>2.4361657597321051</v>
      </c>
      <c r="P14" s="178">
        <f t="shared" si="10"/>
        <v>1.3920947198469174</v>
      </c>
      <c r="Q14" s="553">
        <f t="shared" si="11"/>
        <v>0.59349036088911056</v>
      </c>
      <c r="R14" s="178">
        <f t="shared" si="12"/>
        <v>0.46857142857142853</v>
      </c>
    </row>
    <row r="15" spans="3:19" x14ac:dyDescent="0.2">
      <c r="C15" s="175">
        <v>9</v>
      </c>
      <c r="D15" s="6">
        <f t="shared" si="13"/>
        <v>11.969999999999999</v>
      </c>
      <c r="E15" s="452">
        <f t="shared" si="0"/>
        <v>12.25</v>
      </c>
      <c r="F15" s="222">
        <f t="shared" si="1"/>
        <v>0.5057803468208093</v>
      </c>
      <c r="G15" s="177">
        <f t="shared" si="2"/>
        <v>11.790536488439304</v>
      </c>
      <c r="H15" s="222">
        <f t="shared" si="3"/>
        <v>0.98254470736994204</v>
      </c>
      <c r="I15" s="452">
        <f t="shared" si="4"/>
        <v>24.22</v>
      </c>
      <c r="J15" s="177">
        <f t="shared" si="5"/>
        <v>1.35</v>
      </c>
      <c r="K15" s="177">
        <f t="shared" si="6"/>
        <v>0.78947368421052655</v>
      </c>
      <c r="L15" s="177">
        <f t="shared" si="7"/>
        <v>0.77142857142857146</v>
      </c>
      <c r="M15" s="452">
        <f t="shared" si="14"/>
        <v>350</v>
      </c>
      <c r="N15" s="202">
        <f t="shared" si="8"/>
        <v>350</v>
      </c>
      <c r="O15" s="222">
        <f t="shared" si="9"/>
        <v>2.4710982658959533</v>
      </c>
      <c r="P15" s="178">
        <f t="shared" si="10"/>
        <v>1.4120561519405446</v>
      </c>
      <c r="Q15" s="178">
        <f t="shared" si="11"/>
        <v>0.61063266397139859</v>
      </c>
      <c r="R15" s="178">
        <f t="shared" si="12"/>
        <v>0.46857142857142853</v>
      </c>
    </row>
    <row r="16" spans="3:19" x14ac:dyDescent="0.2">
      <c r="C16" s="175">
        <v>10</v>
      </c>
      <c r="D16" s="6">
        <f t="shared" si="13"/>
        <v>12.3</v>
      </c>
      <c r="E16" s="452">
        <f t="shared" si="0"/>
        <v>12.25</v>
      </c>
      <c r="F16" s="222">
        <f t="shared" si="1"/>
        <v>0.49898167006109978</v>
      </c>
      <c r="G16" s="177">
        <f t="shared" si="2"/>
        <v>11.952731670061098</v>
      </c>
      <c r="H16" s="222">
        <f t="shared" si="3"/>
        <v>0.99606097250509151</v>
      </c>
      <c r="I16" s="452">
        <f t="shared" si="4"/>
        <v>24.55</v>
      </c>
      <c r="J16" s="177">
        <f t="shared" si="5"/>
        <v>1.35</v>
      </c>
      <c r="K16" s="177">
        <f t="shared" si="6"/>
        <v>0.76829268292682928</v>
      </c>
      <c r="L16" s="177">
        <f t="shared" si="7"/>
        <v>0.77142857142857146</v>
      </c>
      <c r="M16" s="452">
        <f t="shared" si="14"/>
        <v>350</v>
      </c>
      <c r="N16" s="202">
        <f t="shared" si="8"/>
        <v>350</v>
      </c>
      <c r="O16" s="222">
        <f t="shared" si="9"/>
        <v>2.505091649694501</v>
      </c>
      <c r="P16" s="178">
        <f t="shared" si="10"/>
        <v>1.4314809426825721</v>
      </c>
      <c r="Q16" s="178">
        <f t="shared" si="11"/>
        <v>0.62754841733691169</v>
      </c>
      <c r="R16" s="178">
        <f t="shared" si="12"/>
        <v>0.46857142857142853</v>
      </c>
    </row>
    <row r="17" spans="3:18" x14ac:dyDescent="0.2">
      <c r="C17" s="175">
        <v>11</v>
      </c>
      <c r="D17" s="6">
        <f t="shared" si="13"/>
        <v>12.629999999999999</v>
      </c>
      <c r="E17" s="452">
        <f t="shared" si="0"/>
        <v>12.25</v>
      </c>
      <c r="F17" s="222">
        <f t="shared" si="1"/>
        <v>0.49236334405144694</v>
      </c>
      <c r="G17" s="177">
        <f t="shared" si="2"/>
        <v>12.110624246382633</v>
      </c>
      <c r="H17" s="222">
        <f t="shared" si="3"/>
        <v>1.0092186871985527</v>
      </c>
      <c r="I17" s="452">
        <f t="shared" si="4"/>
        <v>24.88</v>
      </c>
      <c r="J17" s="177">
        <f t="shared" si="5"/>
        <v>1.35</v>
      </c>
      <c r="K17" s="177">
        <f t="shared" si="6"/>
        <v>0.74821852731591465</v>
      </c>
      <c r="L17" s="177">
        <f t="shared" si="7"/>
        <v>0.77142857142857146</v>
      </c>
      <c r="M17" s="452">
        <f t="shared" si="14"/>
        <v>350</v>
      </c>
      <c r="N17" s="202">
        <f t="shared" si="8"/>
        <v>350</v>
      </c>
      <c r="O17" s="222">
        <f t="shared" si="9"/>
        <v>2.538183279742765</v>
      </c>
      <c r="P17" s="178">
        <f t="shared" si="10"/>
        <v>1.4503904455672945</v>
      </c>
      <c r="Q17" s="178">
        <f t="shared" si="11"/>
        <v>0.64423743615657392</v>
      </c>
      <c r="R17" s="178">
        <f t="shared" si="12"/>
        <v>0.46857142857142853</v>
      </c>
    </row>
    <row r="18" spans="3:18" x14ac:dyDescent="0.2">
      <c r="C18" s="175">
        <v>12</v>
      </c>
      <c r="D18" s="6">
        <f t="shared" si="13"/>
        <v>12.96</v>
      </c>
      <c r="E18" s="452">
        <f t="shared" si="0"/>
        <v>12.25</v>
      </c>
      <c r="F18" s="222">
        <f t="shared" si="1"/>
        <v>0.48591828639428797</v>
      </c>
      <c r="G18" s="177">
        <f t="shared" si="2"/>
        <v>12.264383181277269</v>
      </c>
      <c r="H18" s="222">
        <f t="shared" si="3"/>
        <v>1.0220319317731057</v>
      </c>
      <c r="I18" s="452">
        <f t="shared" si="4"/>
        <v>25.21</v>
      </c>
      <c r="J18" s="177">
        <f t="shared" si="5"/>
        <v>1.35</v>
      </c>
      <c r="K18" s="177">
        <f t="shared" si="6"/>
        <v>0.72916666666666674</v>
      </c>
      <c r="L18" s="177">
        <f t="shared" si="7"/>
        <v>0.77142857142857146</v>
      </c>
      <c r="M18" s="452">
        <f t="shared" si="14"/>
        <v>350</v>
      </c>
      <c r="N18" s="202">
        <f t="shared" si="8"/>
        <v>350</v>
      </c>
      <c r="O18" s="222">
        <f t="shared" si="9"/>
        <v>2.5704085680285598</v>
      </c>
      <c r="P18" s="178">
        <f t="shared" si="10"/>
        <v>1.4688048960163198</v>
      </c>
      <c r="Q18" s="178">
        <f t="shared" si="11"/>
        <v>0.66070002065946309</v>
      </c>
      <c r="R18" s="178">
        <f t="shared" si="12"/>
        <v>0.46857142857142853</v>
      </c>
    </row>
    <row r="19" spans="3:18" x14ac:dyDescent="0.2">
      <c r="C19" s="175">
        <v>13</v>
      </c>
      <c r="D19" s="6">
        <f t="shared" si="13"/>
        <v>13.29</v>
      </c>
      <c r="E19" s="452">
        <f t="shared" si="0"/>
        <v>12.25</v>
      </c>
      <c r="F19" s="222">
        <f t="shared" si="1"/>
        <v>0.47963978073610025</v>
      </c>
      <c r="G19" s="177">
        <f t="shared" si="2"/>
        <v>12.414168705951447</v>
      </c>
      <c r="H19" s="222">
        <f t="shared" si="3"/>
        <v>1.0345140588292872</v>
      </c>
      <c r="I19" s="452">
        <f t="shared" si="4"/>
        <v>25.54</v>
      </c>
      <c r="J19" s="177">
        <f t="shared" si="5"/>
        <v>1.35</v>
      </c>
      <c r="K19" s="177">
        <f t="shared" si="6"/>
        <v>0.71106094808126419</v>
      </c>
      <c r="L19" s="177">
        <f t="shared" si="7"/>
        <v>0.77142857142857146</v>
      </c>
      <c r="M19" s="452">
        <f t="shared" si="14"/>
        <v>350</v>
      </c>
      <c r="N19" s="202">
        <f t="shared" si="8"/>
        <v>350</v>
      </c>
      <c r="O19" s="222">
        <f t="shared" si="9"/>
        <v>2.6018010963194986</v>
      </c>
      <c r="P19" s="178">
        <f t="shared" si="10"/>
        <v>1.4867434836111422</v>
      </c>
      <c r="Q19" s="178">
        <f t="shared" si="11"/>
        <v>0.67693689448093453</v>
      </c>
      <c r="R19" s="178">
        <f t="shared" si="12"/>
        <v>0.46857142857142853</v>
      </c>
    </row>
    <row r="20" spans="3:18" x14ac:dyDescent="0.2">
      <c r="C20" s="175">
        <v>14</v>
      </c>
      <c r="D20" s="6">
        <f t="shared" si="13"/>
        <v>13.620000000000001</v>
      </c>
      <c r="E20" s="452">
        <f t="shared" si="0"/>
        <v>12.25</v>
      </c>
      <c r="F20" s="222">
        <f t="shared" si="1"/>
        <v>0.47352145342095087</v>
      </c>
      <c r="G20" s="177">
        <f t="shared" si="2"/>
        <v>12.56013287591805</v>
      </c>
      <c r="H20" s="222">
        <f t="shared" si="3"/>
        <v>1.0466777396598375</v>
      </c>
      <c r="I20" s="452">
        <f t="shared" si="4"/>
        <v>25.87</v>
      </c>
      <c r="J20" s="177">
        <f t="shared" si="5"/>
        <v>1.35</v>
      </c>
      <c r="K20" s="177">
        <f t="shared" si="6"/>
        <v>0.69383259911894268</v>
      </c>
      <c r="L20" s="177">
        <f t="shared" si="7"/>
        <v>0.77142857142857146</v>
      </c>
      <c r="M20" s="452">
        <f t="shared" si="14"/>
        <v>350</v>
      </c>
      <c r="N20" s="202">
        <f t="shared" si="8"/>
        <v>350</v>
      </c>
      <c r="O20" s="222">
        <f t="shared" si="9"/>
        <v>2.6323927328952452</v>
      </c>
      <c r="P20" s="178">
        <f t="shared" si="10"/>
        <v>1.5042244187972829</v>
      </c>
      <c r="Q20" s="178">
        <f t="shared" si="11"/>
        <v>0.69294915001996982</v>
      </c>
      <c r="R20" s="178">
        <f t="shared" si="12"/>
        <v>0.46857142857142853</v>
      </c>
    </row>
    <row r="21" spans="3:18" x14ac:dyDescent="0.2">
      <c r="C21" s="175">
        <v>15</v>
      </c>
      <c r="D21" s="6">
        <f t="shared" si="13"/>
        <v>13.95</v>
      </c>
      <c r="E21" s="452">
        <f t="shared" si="0"/>
        <v>12.25</v>
      </c>
      <c r="F21" s="222">
        <f t="shared" si="1"/>
        <v>0.46755725190839698</v>
      </c>
      <c r="G21" s="177">
        <f t="shared" si="2"/>
        <v>12.702420085877861</v>
      </c>
      <c r="H21" s="222">
        <f t="shared" si="3"/>
        <v>1.0585350071564885</v>
      </c>
      <c r="I21" s="452">
        <f t="shared" si="4"/>
        <v>26.2</v>
      </c>
      <c r="J21" s="177">
        <f t="shared" si="5"/>
        <v>1.35</v>
      </c>
      <c r="K21" s="177">
        <f t="shared" si="6"/>
        <v>0.67741935483870974</v>
      </c>
      <c r="L21" s="177">
        <f t="shared" si="7"/>
        <v>0.77142857142857146</v>
      </c>
      <c r="M21" s="452">
        <f t="shared" si="14"/>
        <v>350</v>
      </c>
      <c r="N21" s="202">
        <f t="shared" si="8"/>
        <v>350</v>
      </c>
      <c r="O21" s="222">
        <f t="shared" si="9"/>
        <v>2.6622137404580153</v>
      </c>
      <c r="P21" s="178">
        <f t="shared" si="10"/>
        <v>1.5212649945474372</v>
      </c>
      <c r="Q21" s="178">
        <f t="shared" si="11"/>
        <v>0.70873819998834564</v>
      </c>
      <c r="R21" s="178">
        <f t="shared" si="12"/>
        <v>0.46857142857142853</v>
      </c>
    </row>
    <row r="22" spans="3:18" s="4" customFormat="1" x14ac:dyDescent="0.2">
      <c r="C22" s="338">
        <v>16</v>
      </c>
      <c r="D22" s="545">
        <f t="shared" si="13"/>
        <v>14.280000000000001</v>
      </c>
      <c r="E22" s="546">
        <f t="shared" si="0"/>
        <v>12.25</v>
      </c>
      <c r="F22" s="547">
        <f t="shared" si="1"/>
        <v>0.46174142480211078</v>
      </c>
      <c r="G22" s="337">
        <f t="shared" si="2"/>
        <v>12.841167546174141</v>
      </c>
      <c r="H22" s="547">
        <f t="shared" si="3"/>
        <v>1.0700972955145118</v>
      </c>
      <c r="I22" s="546">
        <f t="shared" si="4"/>
        <v>26.53</v>
      </c>
      <c r="J22" s="177">
        <f t="shared" si="5"/>
        <v>1.35</v>
      </c>
      <c r="K22" s="337">
        <f t="shared" si="6"/>
        <v>0.66176470588235303</v>
      </c>
      <c r="L22" s="337">
        <f t="shared" si="7"/>
        <v>0.77142857142857146</v>
      </c>
      <c r="M22" s="546">
        <f t="shared" si="14"/>
        <v>350</v>
      </c>
      <c r="N22" s="340">
        <f t="shared" si="8"/>
        <v>350</v>
      </c>
      <c r="O22" s="547">
        <f t="shared" si="9"/>
        <v>2.6912928759894452</v>
      </c>
      <c r="P22" s="178">
        <f t="shared" si="10"/>
        <v>1.5378816434225402</v>
      </c>
      <c r="Q22" s="554">
        <f t="shared" si="11"/>
        <v>0.72430573443515389</v>
      </c>
      <c r="R22" s="178">
        <f t="shared" si="12"/>
        <v>0.46857142857142853</v>
      </c>
    </row>
    <row r="23" spans="3:18" x14ac:dyDescent="0.2">
      <c r="C23" s="175">
        <v>17</v>
      </c>
      <c r="D23" s="6">
        <f t="shared" si="13"/>
        <v>14.61</v>
      </c>
      <c r="E23" s="452">
        <f t="shared" si="0"/>
        <v>12.25</v>
      </c>
      <c r="F23" s="222">
        <f t="shared" si="1"/>
        <v>0.45606850335070737</v>
      </c>
      <c r="G23" s="177">
        <f t="shared" si="2"/>
        <v>12.97650572412509</v>
      </c>
      <c r="H23" s="222">
        <f t="shared" si="3"/>
        <v>1.0813754770104242</v>
      </c>
      <c r="I23" s="452">
        <f t="shared" si="4"/>
        <v>26.86</v>
      </c>
      <c r="J23" s="177">
        <f t="shared" si="5"/>
        <v>1.35</v>
      </c>
      <c r="K23" s="177">
        <f t="shared" si="6"/>
        <v>0.64681724845995903</v>
      </c>
      <c r="L23" s="177">
        <f t="shared" si="7"/>
        <v>0.77142857142857146</v>
      </c>
      <c r="M23" s="452">
        <f t="shared" si="14"/>
        <v>350</v>
      </c>
      <c r="N23" s="202">
        <f t="shared" si="8"/>
        <v>350</v>
      </c>
      <c r="O23" s="222">
        <f t="shared" si="9"/>
        <v>2.7196574832464635</v>
      </c>
      <c r="P23" s="178">
        <f t="shared" si="10"/>
        <v>1.5540899904265506</v>
      </c>
      <c r="Q23" s="178">
        <f t="shared" si="11"/>
        <v>0.73965368261784881</v>
      </c>
      <c r="R23" s="178">
        <f t="shared" si="12"/>
        <v>0.46857142857142853</v>
      </c>
    </row>
    <row r="24" spans="3:18" x14ac:dyDescent="0.2">
      <c r="C24" s="175">
        <v>18</v>
      </c>
      <c r="D24" s="6">
        <f t="shared" si="13"/>
        <v>14.94</v>
      </c>
      <c r="E24" s="452">
        <f t="shared" si="0"/>
        <v>12.25</v>
      </c>
      <c r="F24" s="222">
        <f t="shared" si="1"/>
        <v>0.450533284295697</v>
      </c>
      <c r="G24" s="177">
        <f t="shared" si="2"/>
        <v>13.108558753218093</v>
      </c>
      <c r="H24" s="222">
        <f t="shared" si="3"/>
        <v>1.0923798961015077</v>
      </c>
      <c r="I24" s="452">
        <f t="shared" si="4"/>
        <v>27.189999999999998</v>
      </c>
      <c r="J24" s="177">
        <f t="shared" si="5"/>
        <v>1.35</v>
      </c>
      <c r="K24" s="177">
        <f t="shared" si="6"/>
        <v>0.6325301204819278</v>
      </c>
      <c r="L24" s="177">
        <f t="shared" si="7"/>
        <v>0.77142857142857146</v>
      </c>
      <c r="M24" s="452">
        <f t="shared" si="14"/>
        <v>350</v>
      </c>
      <c r="N24" s="202">
        <f t="shared" si="8"/>
        <v>350</v>
      </c>
      <c r="O24" s="222">
        <f t="shared" si="9"/>
        <v>2.7473335785215154</v>
      </c>
      <c r="P24" s="178">
        <f t="shared" si="10"/>
        <v>1.5699049020122944</v>
      </c>
      <c r="Q24" s="178">
        <f t="shared" si="11"/>
        <v>0.75478417916718343</v>
      </c>
      <c r="R24" s="178">
        <f t="shared" si="12"/>
        <v>0.46857142857142853</v>
      </c>
    </row>
    <row r="25" spans="3:18" x14ac:dyDescent="0.2">
      <c r="C25" s="175">
        <v>19</v>
      </c>
      <c r="D25" s="6">
        <f t="shared" si="13"/>
        <v>15.27</v>
      </c>
      <c r="E25" s="452">
        <f t="shared" si="0"/>
        <v>12.25</v>
      </c>
      <c r="F25" s="222">
        <f t="shared" si="1"/>
        <v>0.44513081395348836</v>
      </c>
      <c r="G25" s="177">
        <f t="shared" si="2"/>
        <v>13.237444812863371</v>
      </c>
      <c r="H25" s="222">
        <f t="shared" si="3"/>
        <v>1.1031204010719475</v>
      </c>
      <c r="I25" s="452">
        <f t="shared" si="4"/>
        <v>27.52</v>
      </c>
      <c r="J25" s="177">
        <f t="shared" si="5"/>
        <v>1.35</v>
      </c>
      <c r="K25" s="177">
        <f t="shared" si="6"/>
        <v>0.61886051080550109</v>
      </c>
      <c r="L25" s="177">
        <f t="shared" si="7"/>
        <v>0.77142857142857146</v>
      </c>
      <c r="M25" s="452">
        <f t="shared" si="14"/>
        <v>350</v>
      </c>
      <c r="N25" s="202">
        <f t="shared" si="8"/>
        <v>350</v>
      </c>
      <c r="O25" s="222">
        <f t="shared" si="9"/>
        <v>2.7743459302325579</v>
      </c>
      <c r="P25" s="178">
        <f t="shared" si="10"/>
        <v>1.5853405315614617</v>
      </c>
      <c r="Q25" s="178">
        <f t="shared" si="11"/>
        <v>0.76969953405979574</v>
      </c>
      <c r="R25" s="178">
        <f t="shared" si="12"/>
        <v>0.46857142857142853</v>
      </c>
    </row>
    <row r="26" spans="3:18" x14ac:dyDescent="0.2">
      <c r="C26" s="175">
        <v>20</v>
      </c>
      <c r="D26" s="6">
        <f t="shared" si="13"/>
        <v>15.600000000000001</v>
      </c>
      <c r="E26" s="452">
        <f t="shared" si="0"/>
        <v>12.25</v>
      </c>
      <c r="F26" s="222">
        <f t="shared" si="1"/>
        <v>0.43985637342908435</v>
      </c>
      <c r="G26" s="177">
        <f t="shared" si="2"/>
        <v>13.363276481149011</v>
      </c>
      <c r="H26" s="222">
        <f t="shared" si="3"/>
        <v>1.1136063734290842</v>
      </c>
      <c r="I26" s="452">
        <f t="shared" si="4"/>
        <v>27.85</v>
      </c>
      <c r="J26" s="177">
        <f t="shared" si="5"/>
        <v>1.35</v>
      </c>
      <c r="K26" s="177">
        <f t="shared" si="6"/>
        <v>0.60576923076923084</v>
      </c>
      <c r="L26" s="177">
        <f t="shared" si="7"/>
        <v>0.77142857142857146</v>
      </c>
      <c r="M26" s="452">
        <f t="shared" si="14"/>
        <v>350</v>
      </c>
      <c r="N26" s="202">
        <f t="shared" si="8"/>
        <v>350</v>
      </c>
      <c r="O26" s="222">
        <f t="shared" si="9"/>
        <v>2.8007181328545783</v>
      </c>
      <c r="P26" s="178">
        <f t="shared" si="10"/>
        <v>1.6004103616311876</v>
      </c>
      <c r="Q26" s="178">
        <f t="shared" si="11"/>
        <v>0.7844022059700434</v>
      </c>
      <c r="R26" s="178">
        <f t="shared" si="12"/>
        <v>0.46857142857142853</v>
      </c>
    </row>
    <row r="27" spans="3:18" x14ac:dyDescent="0.2">
      <c r="C27" s="175">
        <v>21</v>
      </c>
      <c r="D27" s="6">
        <f t="shared" si="13"/>
        <v>15.93</v>
      </c>
      <c r="E27" s="452">
        <f t="shared" si="0"/>
        <v>12.25</v>
      </c>
      <c r="F27" s="222">
        <f t="shared" si="1"/>
        <v>0.43470546486870121</v>
      </c>
      <c r="G27" s="177">
        <f t="shared" si="2"/>
        <v>13.486161062810501</v>
      </c>
      <c r="H27" s="222">
        <f t="shared" si="3"/>
        <v>1.1238467552342084</v>
      </c>
      <c r="I27" s="452">
        <f t="shared" si="4"/>
        <v>28.18</v>
      </c>
      <c r="J27" s="177">
        <f t="shared" si="5"/>
        <v>1.35</v>
      </c>
      <c r="K27" s="177">
        <f t="shared" si="6"/>
        <v>0.59322033898305093</v>
      </c>
      <c r="L27" s="177">
        <f t="shared" si="7"/>
        <v>0.77142857142857146</v>
      </c>
      <c r="M27" s="452">
        <f t="shared" si="14"/>
        <v>350</v>
      </c>
      <c r="N27" s="202">
        <f t="shared" si="8"/>
        <v>350</v>
      </c>
      <c r="O27" s="222">
        <f t="shared" si="9"/>
        <v>2.8264726756564937</v>
      </c>
      <c r="P27" s="178">
        <f t="shared" si="10"/>
        <v>1.6151272432322821</v>
      </c>
      <c r="Q27" s="178">
        <f t="shared" si="11"/>
        <v>0.79889477862327785</v>
      </c>
      <c r="R27" s="178">
        <f t="shared" si="12"/>
        <v>0.46857142857142853</v>
      </c>
    </row>
    <row r="28" spans="3:18" x14ac:dyDescent="0.2">
      <c r="C28" s="175">
        <v>22</v>
      </c>
      <c r="D28" s="6">
        <f t="shared" si="13"/>
        <v>16.259999999999998</v>
      </c>
      <c r="E28" s="452">
        <f t="shared" si="0"/>
        <v>12.25</v>
      </c>
      <c r="F28" s="222">
        <f t="shared" si="1"/>
        <v>0.42967379866713434</v>
      </c>
      <c r="G28" s="177">
        <f t="shared" si="2"/>
        <v>13.606200894423006</v>
      </c>
      <c r="H28" s="222">
        <f t="shared" si="3"/>
        <v>1.1338500745352504</v>
      </c>
      <c r="I28" s="452">
        <f t="shared" si="4"/>
        <v>28.509999999999998</v>
      </c>
      <c r="J28" s="177">
        <f t="shared" si="5"/>
        <v>1.35</v>
      </c>
      <c r="K28" s="177">
        <f t="shared" si="6"/>
        <v>0.5811808118081182</v>
      </c>
      <c r="L28" s="177">
        <f t="shared" si="7"/>
        <v>0.77142857142857146</v>
      </c>
      <c r="M28" s="452">
        <f t="shared" si="14"/>
        <v>350</v>
      </c>
      <c r="N28" s="202">
        <f t="shared" si="8"/>
        <v>350</v>
      </c>
      <c r="O28" s="222">
        <f t="shared" si="9"/>
        <v>2.851631006664328</v>
      </c>
      <c r="P28" s="178">
        <f t="shared" si="10"/>
        <v>1.629503432379616</v>
      </c>
      <c r="Q28" s="178">
        <f t="shared" si="11"/>
        <v>0.81317993981694092</v>
      </c>
      <c r="R28" s="178">
        <f t="shared" si="12"/>
        <v>0.46857142857142853</v>
      </c>
    </row>
    <row r="29" spans="3:18" x14ac:dyDescent="0.2">
      <c r="C29" s="175">
        <v>23</v>
      </c>
      <c r="D29" s="6">
        <f t="shared" si="13"/>
        <v>16.59</v>
      </c>
      <c r="E29" s="452">
        <f t="shared" si="0"/>
        <v>12.25</v>
      </c>
      <c r="F29" s="222">
        <f t="shared" si="1"/>
        <v>0.42475728155339804</v>
      </c>
      <c r="G29" s="177">
        <f t="shared" si="2"/>
        <v>13.723493628640774</v>
      </c>
      <c r="H29" s="222">
        <f t="shared" si="3"/>
        <v>1.1436244690533979</v>
      </c>
      <c r="I29" s="452">
        <f t="shared" si="4"/>
        <v>28.84</v>
      </c>
      <c r="J29" s="177">
        <f t="shared" si="5"/>
        <v>1.35</v>
      </c>
      <c r="K29" s="177">
        <f t="shared" si="6"/>
        <v>0.569620253164557</v>
      </c>
      <c r="L29" s="177">
        <f t="shared" si="7"/>
        <v>0.77142857142857146</v>
      </c>
      <c r="M29" s="452">
        <f t="shared" si="14"/>
        <v>350</v>
      </c>
      <c r="N29" s="202">
        <f t="shared" si="8"/>
        <v>350</v>
      </c>
      <c r="O29" s="222">
        <f t="shared" si="9"/>
        <v>2.8762135922330097</v>
      </c>
      <c r="P29" s="178">
        <f t="shared" si="10"/>
        <v>1.6435506241331483</v>
      </c>
      <c r="Q29" s="178">
        <f t="shared" si="11"/>
        <v>0.82726046281459142</v>
      </c>
      <c r="R29" s="178">
        <f t="shared" si="12"/>
        <v>0.46857142857142853</v>
      </c>
    </row>
    <row r="30" spans="3:18" x14ac:dyDescent="0.2">
      <c r="C30" s="175">
        <v>24</v>
      </c>
      <c r="D30" s="6">
        <f t="shared" si="13"/>
        <v>16.920000000000002</v>
      </c>
      <c r="E30" s="452">
        <f t="shared" si="0"/>
        <v>12.25</v>
      </c>
      <c r="F30" s="222">
        <f t="shared" si="1"/>
        <v>0.41995200548508738</v>
      </c>
      <c r="G30" s="177">
        <f t="shared" si="2"/>
        <v>13.838132499142953</v>
      </c>
      <c r="H30" s="222">
        <f t="shared" si="3"/>
        <v>1.1531777082619128</v>
      </c>
      <c r="I30" s="452">
        <f t="shared" si="4"/>
        <v>29.17</v>
      </c>
      <c r="J30" s="177">
        <f t="shared" si="5"/>
        <v>1.35</v>
      </c>
      <c r="K30" s="177">
        <f t="shared" si="6"/>
        <v>0.5585106382978724</v>
      </c>
      <c r="L30" s="177">
        <f t="shared" si="7"/>
        <v>0.77142857142857146</v>
      </c>
      <c r="M30" s="452">
        <f t="shared" si="14"/>
        <v>350</v>
      </c>
      <c r="N30" s="202">
        <f t="shared" si="8"/>
        <v>350</v>
      </c>
      <c r="O30" s="222">
        <f t="shared" si="9"/>
        <v>2.9002399725745631</v>
      </c>
      <c r="P30" s="178">
        <f t="shared" si="10"/>
        <v>1.6572799843283219</v>
      </c>
      <c r="Q30" s="178">
        <f t="shared" si="11"/>
        <v>0.84113918985193037</v>
      </c>
      <c r="R30" s="178">
        <f t="shared" si="12"/>
        <v>0.46857142857142853</v>
      </c>
    </row>
    <row r="31" spans="3:18" x14ac:dyDescent="0.2">
      <c r="C31" s="175">
        <v>25</v>
      </c>
      <c r="D31" s="6">
        <f t="shared" si="13"/>
        <v>17.25</v>
      </c>
      <c r="E31" s="452">
        <f t="shared" si="0"/>
        <v>12.25</v>
      </c>
      <c r="F31" s="222">
        <f t="shared" si="1"/>
        <v>0.4152542372881356</v>
      </c>
      <c r="G31" s="177">
        <f t="shared" si="2"/>
        <v>13.950206567796609</v>
      </c>
      <c r="H31" s="222">
        <f t="shared" si="3"/>
        <v>1.1625172139830509</v>
      </c>
      <c r="I31" s="452">
        <f t="shared" si="4"/>
        <v>29.5</v>
      </c>
      <c r="J31" s="177">
        <f t="shared" si="5"/>
        <v>1.35</v>
      </c>
      <c r="K31" s="177">
        <f t="shared" si="6"/>
        <v>0.5478260869565218</v>
      </c>
      <c r="L31" s="177">
        <f t="shared" si="7"/>
        <v>0.77142857142857146</v>
      </c>
      <c r="M31" s="452">
        <f t="shared" si="14"/>
        <v>350</v>
      </c>
      <c r="N31" s="202">
        <f t="shared" si="8"/>
        <v>350</v>
      </c>
      <c r="O31" s="222">
        <f t="shared" si="9"/>
        <v>2.9237288135593222</v>
      </c>
      <c r="P31" s="178">
        <f t="shared" si="10"/>
        <v>1.6707021791767556</v>
      </c>
      <c r="Q31" s="178">
        <f t="shared" si="11"/>
        <v>0.85481901752370026</v>
      </c>
      <c r="R31" s="178">
        <f t="shared" si="12"/>
        <v>0.46857142857142853</v>
      </c>
    </row>
    <row r="32" spans="3:18" x14ac:dyDescent="0.2">
      <c r="C32" s="175">
        <v>26</v>
      </c>
      <c r="D32" s="6">
        <f t="shared" si="13"/>
        <v>17.579999999999998</v>
      </c>
      <c r="E32" s="452">
        <f t="shared" si="0"/>
        <v>12.25</v>
      </c>
      <c r="F32" s="222">
        <f t="shared" si="1"/>
        <v>0.41066040898424405</v>
      </c>
      <c r="G32" s="177">
        <f t="shared" si="2"/>
        <v>14.05980095541401</v>
      </c>
      <c r="H32" s="222">
        <f t="shared" si="3"/>
        <v>1.1716500796178342</v>
      </c>
      <c r="I32" s="452">
        <f t="shared" si="4"/>
        <v>29.83</v>
      </c>
      <c r="J32" s="177">
        <f t="shared" si="5"/>
        <v>1.35</v>
      </c>
      <c r="K32" s="177">
        <f t="shared" si="6"/>
        <v>0.53754266211604107</v>
      </c>
      <c r="L32" s="177">
        <f t="shared" si="7"/>
        <v>0.77142857142857146</v>
      </c>
      <c r="M32" s="452">
        <f t="shared" si="14"/>
        <v>350</v>
      </c>
      <c r="N32" s="202">
        <f t="shared" si="8"/>
        <v>350</v>
      </c>
      <c r="O32" s="222">
        <f t="shared" si="9"/>
        <v>2.9466979550787791</v>
      </c>
      <c r="P32" s="178">
        <f t="shared" si="10"/>
        <v>1.6838274029021594</v>
      </c>
      <c r="Q32" s="178">
        <f t="shared" si="11"/>
        <v>0.86830288384654575</v>
      </c>
      <c r="R32" s="178">
        <f t="shared" si="12"/>
        <v>0.46857142857142853</v>
      </c>
    </row>
    <row r="33" spans="3:18" x14ac:dyDescent="0.2">
      <c r="C33" s="175">
        <v>27</v>
      </c>
      <c r="D33" s="6">
        <f t="shared" si="13"/>
        <v>17.91</v>
      </c>
      <c r="E33" s="452">
        <f t="shared" si="0"/>
        <v>12.25</v>
      </c>
      <c r="F33" s="222">
        <f t="shared" si="1"/>
        <v>0.40616710875331563</v>
      </c>
      <c r="G33" s="177">
        <f t="shared" si="2"/>
        <v>14.16699705736074</v>
      </c>
      <c r="H33" s="222">
        <f t="shared" si="3"/>
        <v>1.180583088113395</v>
      </c>
      <c r="I33" s="452">
        <f t="shared" si="4"/>
        <v>30.16</v>
      </c>
      <c r="J33" s="177">
        <f t="shared" si="5"/>
        <v>1.35</v>
      </c>
      <c r="K33" s="177">
        <f t="shared" si="6"/>
        <v>0.52763819095477393</v>
      </c>
      <c r="L33" s="177">
        <f t="shared" si="7"/>
        <v>0.77142857142857146</v>
      </c>
      <c r="M33" s="452">
        <f t="shared" si="14"/>
        <v>350</v>
      </c>
      <c r="N33" s="202">
        <f t="shared" si="8"/>
        <v>350</v>
      </c>
      <c r="O33" s="222">
        <f t="shared" si="9"/>
        <v>2.9691644562334223</v>
      </c>
      <c r="P33" s="178">
        <f t="shared" si="10"/>
        <v>1.6966654035619557</v>
      </c>
      <c r="Q33" s="178">
        <f t="shared" si="11"/>
        <v>0.8815937568159915</v>
      </c>
      <c r="R33" s="178">
        <f t="shared" si="12"/>
        <v>0.46857142857142853</v>
      </c>
    </row>
    <row r="34" spans="3:18" x14ac:dyDescent="0.2">
      <c r="C34" s="175">
        <v>28</v>
      </c>
      <c r="D34" s="6">
        <f t="shared" si="13"/>
        <v>18.240000000000002</v>
      </c>
      <c r="E34" s="452">
        <f t="shared" si="0"/>
        <v>12.25</v>
      </c>
      <c r="F34" s="222">
        <f t="shared" si="1"/>
        <v>0.40177107248278121</v>
      </c>
      <c r="G34" s="177">
        <f t="shared" si="2"/>
        <v>14.271872745162348</v>
      </c>
      <c r="H34" s="222">
        <f t="shared" si="3"/>
        <v>1.1893227287635291</v>
      </c>
      <c r="I34" s="452">
        <f t="shared" si="4"/>
        <v>30.490000000000002</v>
      </c>
      <c r="J34" s="177">
        <f t="shared" si="5"/>
        <v>1.35</v>
      </c>
      <c r="K34" s="177">
        <f t="shared" si="6"/>
        <v>0.51809210526315785</v>
      </c>
      <c r="L34" s="177">
        <f t="shared" si="7"/>
        <v>0.77142857142857146</v>
      </c>
      <c r="M34" s="452">
        <f t="shared" si="14"/>
        <v>350</v>
      </c>
      <c r="N34" s="202">
        <f t="shared" si="8"/>
        <v>350</v>
      </c>
      <c r="O34" s="222">
        <f t="shared" si="9"/>
        <v>2.9911446375860939</v>
      </c>
      <c r="P34" s="178">
        <f t="shared" si="10"/>
        <v>1.7092255071920537</v>
      </c>
      <c r="Q34" s="178">
        <f t="shared" si="11"/>
        <v>0.89469462429600455</v>
      </c>
      <c r="R34" s="178">
        <f t="shared" si="12"/>
        <v>0.46857142857142853</v>
      </c>
    </row>
    <row r="35" spans="3:18" x14ac:dyDescent="0.2">
      <c r="C35" s="175">
        <v>29</v>
      </c>
      <c r="D35" s="6">
        <f t="shared" si="13"/>
        <v>18.57</v>
      </c>
      <c r="E35" s="452">
        <f t="shared" si="0"/>
        <v>12.25</v>
      </c>
      <c r="F35" s="222">
        <f t="shared" si="1"/>
        <v>0.39746917585983127</v>
      </c>
      <c r="G35" s="177">
        <f t="shared" si="2"/>
        <v>14.374502555158985</v>
      </c>
      <c r="H35" s="222">
        <f t="shared" si="3"/>
        <v>1.1978752129299155</v>
      </c>
      <c r="I35" s="452">
        <f t="shared" si="4"/>
        <v>30.82</v>
      </c>
      <c r="J35" s="177">
        <f t="shared" si="5"/>
        <v>1.35</v>
      </c>
      <c r="K35" s="177">
        <f t="shared" si="6"/>
        <v>0.5088852988691438</v>
      </c>
      <c r="L35" s="177">
        <f t="shared" si="7"/>
        <v>0.77142857142857146</v>
      </c>
      <c r="M35" s="452">
        <f t="shared" si="14"/>
        <v>350</v>
      </c>
      <c r="N35" s="202">
        <f t="shared" si="8"/>
        <v>350</v>
      </c>
      <c r="O35" s="222">
        <f t="shared" si="9"/>
        <v>3.0126541207008435</v>
      </c>
      <c r="P35" s="178">
        <f t="shared" si="10"/>
        <v>1.721516640400482</v>
      </c>
      <c r="Q35" s="178">
        <f t="shared" si="11"/>
        <v>0.9076084850975773</v>
      </c>
      <c r="R35" s="178">
        <f t="shared" si="12"/>
        <v>0.46857142857142853</v>
      </c>
    </row>
    <row r="36" spans="3:18" x14ac:dyDescent="0.2">
      <c r="C36" s="175">
        <v>30</v>
      </c>
      <c r="D36" s="6">
        <f t="shared" si="13"/>
        <v>18.899999999999999</v>
      </c>
      <c r="E36" s="452">
        <f t="shared" si="0"/>
        <v>12.25</v>
      </c>
      <c r="F36" s="222">
        <f t="shared" si="1"/>
        <v>0.39325842696629215</v>
      </c>
      <c r="G36" s="177">
        <f t="shared" si="2"/>
        <v>14.474957865168536</v>
      </c>
      <c r="H36" s="222">
        <f t="shared" si="3"/>
        <v>1.2062464887640447</v>
      </c>
      <c r="I36" s="452">
        <f t="shared" si="4"/>
        <v>31.15</v>
      </c>
      <c r="J36" s="177">
        <f t="shared" si="5"/>
        <v>1.35</v>
      </c>
      <c r="K36" s="177">
        <f t="shared" si="6"/>
        <v>0.50000000000000011</v>
      </c>
      <c r="L36" s="177">
        <f t="shared" si="7"/>
        <v>0.77142857142857146</v>
      </c>
      <c r="M36" s="452">
        <f t="shared" si="14"/>
        <v>350</v>
      </c>
      <c r="N36" s="202">
        <f t="shared" si="8"/>
        <v>350</v>
      </c>
      <c r="O36" s="222">
        <f t="shared" si="9"/>
        <v>3.0337078651685392</v>
      </c>
      <c r="P36" s="178">
        <f t="shared" si="10"/>
        <v>1.7335473515248796</v>
      </c>
      <c r="Q36" s="178">
        <f t="shared" si="11"/>
        <v>0.92033834111854562</v>
      </c>
      <c r="R36" s="178">
        <f t="shared" si="12"/>
        <v>0.46857142857142853</v>
      </c>
    </row>
    <row r="37" spans="3:18" x14ac:dyDescent="0.2">
      <c r="C37" s="175">
        <v>31</v>
      </c>
      <c r="D37" s="6">
        <f t="shared" si="13"/>
        <v>19.23</v>
      </c>
      <c r="E37" s="452">
        <f t="shared" si="0"/>
        <v>12.25</v>
      </c>
      <c r="F37" s="222">
        <f t="shared" si="1"/>
        <v>0.38913595933926304</v>
      </c>
      <c r="G37" s="177">
        <f t="shared" si="2"/>
        <v>14.573307060038118</v>
      </c>
      <c r="H37" s="222">
        <f t="shared" si="3"/>
        <v>1.2144422550031766</v>
      </c>
      <c r="I37" s="452">
        <f t="shared" si="4"/>
        <v>31.48</v>
      </c>
      <c r="J37" s="177">
        <f t="shared" si="5"/>
        <v>1.35</v>
      </c>
      <c r="K37" s="177">
        <f t="shared" si="6"/>
        <v>0.49141965678627147</v>
      </c>
      <c r="L37" s="177">
        <f t="shared" si="7"/>
        <v>0.77142857142857146</v>
      </c>
      <c r="M37" s="452">
        <f t="shared" si="14"/>
        <v>350</v>
      </c>
      <c r="N37" s="202">
        <f t="shared" si="8"/>
        <v>350</v>
      </c>
      <c r="O37" s="222">
        <f t="shared" si="9"/>
        <v>3.0543202033036847</v>
      </c>
      <c r="P37" s="178">
        <f t="shared" si="10"/>
        <v>1.7453258304592485</v>
      </c>
      <c r="Q37" s="178">
        <f t="shared" si="11"/>
        <v>0.93288719043090618</v>
      </c>
      <c r="R37" s="178">
        <f t="shared" si="12"/>
        <v>0.46857142857142853</v>
      </c>
    </row>
    <row r="38" spans="3:18" x14ac:dyDescent="0.2">
      <c r="C38" s="175">
        <v>32</v>
      </c>
      <c r="D38" s="6">
        <f t="shared" si="13"/>
        <v>19.560000000000002</v>
      </c>
      <c r="E38" s="452">
        <f t="shared" ref="E38:E69" si="15">(Vout+Vfwd1)*Nps</f>
        <v>12.25</v>
      </c>
      <c r="F38" s="222">
        <f t="shared" ref="F38:F69" si="16">(Vout+Vfwd1)*Nps/((Vout+Vfwd1)*Nps+D38)</f>
        <v>0.38509902546369063</v>
      </c>
      <c r="G38" s="177">
        <f t="shared" ref="G38:G69" si="17">F38*D38*Isw_max*0.5*Efficiency</f>
        <v>14.669615686890912</v>
      </c>
      <c r="H38" s="222">
        <f t="shared" ref="H38:H69" si="18">G38/Vout</f>
        <v>1.2224679739075761</v>
      </c>
      <c r="I38" s="452">
        <f t="shared" ref="I38:I69" si="19">(Vout+Vfwd1)*Nps+D38</f>
        <v>31.810000000000002</v>
      </c>
      <c r="J38" s="177">
        <f t="shared" ref="J38:J69" si="20">MIN(2*Vout*Iout/(Efficiency*D38*F38), 1.35)</f>
        <v>1.35</v>
      </c>
      <c r="K38" s="177">
        <f t="shared" ref="K38:K69" si="21">L*J38/D38*1000000</f>
        <v>0.48312883435582826</v>
      </c>
      <c r="L38" s="177">
        <f t="shared" ref="L38:L69" si="22">L*J38/((Vout+Vfwd1)*Nps)*1000000</f>
        <v>0.77142857142857146</v>
      </c>
      <c r="M38" s="452">
        <f t="shared" si="14"/>
        <v>350</v>
      </c>
      <c r="N38" s="202">
        <f t="shared" ref="N38:N69" si="23">IF(1/((350000*L)*(1/D38+1/E38))&gt;Isw_min, 350, 0.001/((Isw_min*L)*(1/D38+1/E38)))</f>
        <v>350</v>
      </c>
      <c r="O38" s="222">
        <f t="shared" ref="O38:O69" si="24">1/((N38*1000*L)*(1/D38+1/E38))</f>
        <v>3.0745048726815467</v>
      </c>
      <c r="P38" s="178">
        <f t="shared" ref="P38:P69" si="25">L*O38/E38*1000000</f>
        <v>1.7568599272465983</v>
      </c>
      <c r="Q38" s="178">
        <f t="shared" ref="Q38:Q69" si="26">0.5*P38*O38*Nps*N38/1000</f>
        <v>0.94525802121425739</v>
      </c>
      <c r="R38" s="178">
        <f t="shared" ref="R38:R69" si="27">L*Isw_min/E38*1000000</f>
        <v>0.46857142857142853</v>
      </c>
    </row>
    <row r="39" spans="3:18" x14ac:dyDescent="0.2">
      <c r="C39" s="175">
        <v>33</v>
      </c>
      <c r="D39" s="6">
        <f t="shared" ref="D39:D70" si="28">C39/100*(VIN_max-VIN_min)+VIN_min</f>
        <v>19.89</v>
      </c>
      <c r="E39" s="452">
        <f t="shared" si="15"/>
        <v>12.25</v>
      </c>
      <c r="F39" s="222">
        <f t="shared" si="16"/>
        <v>0.38114499066583696</v>
      </c>
      <c r="G39" s="177">
        <f t="shared" si="17"/>
        <v>14.763946600808959</v>
      </c>
      <c r="H39" s="222">
        <f t="shared" si="18"/>
        <v>1.2303288834007466</v>
      </c>
      <c r="I39" s="452">
        <f t="shared" si="19"/>
        <v>32.14</v>
      </c>
      <c r="J39" s="177">
        <f t="shared" si="20"/>
        <v>1.35</v>
      </c>
      <c r="K39" s="177">
        <f t="shared" si="21"/>
        <v>0.47511312217194573</v>
      </c>
      <c r="L39" s="177">
        <f t="shared" si="22"/>
        <v>0.77142857142857146</v>
      </c>
      <c r="M39" s="452">
        <f t="shared" si="14"/>
        <v>350</v>
      </c>
      <c r="N39" s="202">
        <f t="shared" si="23"/>
        <v>350</v>
      </c>
      <c r="O39" s="222">
        <f t="shared" si="24"/>
        <v>3.0942750466708149</v>
      </c>
      <c r="P39" s="178">
        <f t="shared" si="25"/>
        <v>1.76815716952618</v>
      </c>
      <c r="Q39" s="178">
        <f t="shared" si="26"/>
        <v>0.95745380644496747</v>
      </c>
      <c r="R39" s="178">
        <f t="shared" si="27"/>
        <v>0.46857142857142853</v>
      </c>
    </row>
    <row r="40" spans="3:18" x14ac:dyDescent="0.2">
      <c r="C40" s="175">
        <v>34</v>
      </c>
      <c r="D40" s="6">
        <f t="shared" si="28"/>
        <v>20.22</v>
      </c>
      <c r="E40" s="452">
        <f t="shared" si="15"/>
        <v>12.25</v>
      </c>
      <c r="F40" s="222">
        <f t="shared" si="16"/>
        <v>0.37727132737911923</v>
      </c>
      <c r="G40" s="177">
        <f t="shared" si="17"/>
        <v>14.856360101632275</v>
      </c>
      <c r="H40" s="222">
        <f t="shared" si="18"/>
        <v>1.2380300084693563</v>
      </c>
      <c r="I40" s="452">
        <f t="shared" si="19"/>
        <v>32.47</v>
      </c>
      <c r="J40" s="177">
        <f t="shared" si="20"/>
        <v>1.35</v>
      </c>
      <c r="K40" s="177">
        <f t="shared" si="21"/>
        <v>0.4673590504451039</v>
      </c>
      <c r="L40" s="177">
        <f t="shared" si="22"/>
        <v>0.77142857142857146</v>
      </c>
      <c r="M40" s="452">
        <f t="shared" si="14"/>
        <v>350</v>
      </c>
      <c r="N40" s="202">
        <f t="shared" si="23"/>
        <v>350</v>
      </c>
      <c r="O40" s="222">
        <f t="shared" si="24"/>
        <v>3.1136433631044036</v>
      </c>
      <c r="P40" s="178">
        <f t="shared" si="25"/>
        <v>1.7792247789168019</v>
      </c>
      <c r="Q40" s="178">
        <f t="shared" si="26"/>
        <v>0.96947749926040994</v>
      </c>
      <c r="R40" s="178">
        <f t="shared" si="27"/>
        <v>0.46857142857142853</v>
      </c>
    </row>
    <row r="41" spans="3:18" x14ac:dyDescent="0.2">
      <c r="C41" s="175">
        <v>35</v>
      </c>
      <c r="D41" s="6">
        <f t="shared" si="28"/>
        <v>20.549999999999997</v>
      </c>
      <c r="E41" s="452">
        <f t="shared" si="15"/>
        <v>12.25</v>
      </c>
      <c r="F41" s="222">
        <f t="shared" si="16"/>
        <v>0.37347560975609762</v>
      </c>
      <c r="G41" s="177">
        <f t="shared" si="17"/>
        <v>14.946914062499998</v>
      </c>
      <c r="H41" s="222">
        <f t="shared" si="18"/>
        <v>1.2455761718749998</v>
      </c>
      <c r="I41" s="452">
        <f t="shared" si="19"/>
        <v>32.799999999999997</v>
      </c>
      <c r="J41" s="177">
        <f t="shared" si="20"/>
        <v>1.35</v>
      </c>
      <c r="K41" s="177">
        <f t="shared" si="21"/>
        <v>0.45985401459854025</v>
      </c>
      <c r="L41" s="177">
        <f t="shared" si="22"/>
        <v>0.77142857142857146</v>
      </c>
      <c r="M41" s="452">
        <f t="shared" si="14"/>
        <v>350</v>
      </c>
      <c r="N41" s="202">
        <f t="shared" si="23"/>
        <v>350</v>
      </c>
      <c r="O41" s="222">
        <f t="shared" si="24"/>
        <v>3.1326219512195119</v>
      </c>
      <c r="P41" s="178">
        <f t="shared" si="25"/>
        <v>1.7900696864111496</v>
      </c>
      <c r="Q41" s="178">
        <f t="shared" si="26"/>
        <v>0.98133202892623417</v>
      </c>
      <c r="R41" s="178">
        <f t="shared" si="27"/>
        <v>0.46857142857142853</v>
      </c>
    </row>
    <row r="42" spans="3:18" x14ac:dyDescent="0.2">
      <c r="C42" s="175">
        <v>36</v>
      </c>
      <c r="D42" s="6">
        <f t="shared" si="28"/>
        <v>20.88</v>
      </c>
      <c r="E42" s="452">
        <f t="shared" si="15"/>
        <v>12.25</v>
      </c>
      <c r="F42" s="222">
        <f t="shared" si="16"/>
        <v>0.36975550860247514</v>
      </c>
      <c r="G42" s="177">
        <f t="shared" si="17"/>
        <v>15.035664050709327</v>
      </c>
      <c r="H42" s="222">
        <f t="shared" si="18"/>
        <v>1.2529720042257773</v>
      </c>
      <c r="I42" s="452">
        <f t="shared" si="19"/>
        <v>33.129999999999995</v>
      </c>
      <c r="J42" s="177">
        <f t="shared" si="20"/>
        <v>1.35</v>
      </c>
      <c r="K42" s="177">
        <f t="shared" si="21"/>
        <v>0.45258620689655177</v>
      </c>
      <c r="L42" s="177">
        <f t="shared" si="22"/>
        <v>0.77142857142857146</v>
      </c>
      <c r="M42" s="452">
        <f t="shared" si="14"/>
        <v>350</v>
      </c>
      <c r="N42" s="202">
        <f t="shared" si="23"/>
        <v>350</v>
      </c>
      <c r="O42" s="222">
        <f t="shared" si="24"/>
        <v>3.1512224569876244</v>
      </c>
      <c r="P42" s="178">
        <f t="shared" si="25"/>
        <v>1.8006985468500711</v>
      </c>
      <c r="Q42" s="178">
        <f t="shared" si="26"/>
        <v>0.99302029734231201</v>
      </c>
      <c r="R42" s="178">
        <f t="shared" si="27"/>
        <v>0.46857142857142853</v>
      </c>
    </row>
    <row r="43" spans="3:18" x14ac:dyDescent="0.2">
      <c r="C43" s="175">
        <v>37</v>
      </c>
      <c r="D43" s="6">
        <f t="shared" si="28"/>
        <v>21.21</v>
      </c>
      <c r="E43" s="452">
        <f t="shared" si="15"/>
        <v>12.25</v>
      </c>
      <c r="F43" s="222">
        <f t="shared" si="16"/>
        <v>0.36610878661087864</v>
      </c>
      <c r="G43" s="177">
        <f t="shared" si="17"/>
        <v>15.122663441422592</v>
      </c>
      <c r="H43" s="222">
        <f t="shared" si="18"/>
        <v>1.2602219534518826</v>
      </c>
      <c r="I43" s="452">
        <f t="shared" si="19"/>
        <v>33.46</v>
      </c>
      <c r="J43" s="177">
        <f t="shared" si="20"/>
        <v>1.35</v>
      </c>
      <c r="K43" s="177">
        <f t="shared" si="21"/>
        <v>0.44554455445544561</v>
      </c>
      <c r="L43" s="177">
        <f t="shared" si="22"/>
        <v>0.77142857142857146</v>
      </c>
      <c r="M43" s="452">
        <f t="shared" si="14"/>
        <v>350</v>
      </c>
      <c r="N43" s="202">
        <f t="shared" si="23"/>
        <v>350</v>
      </c>
      <c r="O43" s="222">
        <f t="shared" si="24"/>
        <v>3.1694560669456071</v>
      </c>
      <c r="P43" s="178">
        <f t="shared" si="25"/>
        <v>1.8111177525403468</v>
      </c>
      <c r="Q43" s="178">
        <f t="shared" si="26"/>
        <v>1.0045451760298316</v>
      </c>
      <c r="R43" s="178">
        <f t="shared" si="27"/>
        <v>0.46857142857142853</v>
      </c>
    </row>
    <row r="44" spans="3:18" x14ac:dyDescent="0.2">
      <c r="C44" s="175">
        <v>38</v>
      </c>
      <c r="D44" s="6">
        <f t="shared" si="28"/>
        <v>21.54</v>
      </c>
      <c r="E44" s="452">
        <f t="shared" si="15"/>
        <v>12.25</v>
      </c>
      <c r="F44" s="222">
        <f t="shared" si="16"/>
        <v>0.36253329387392719</v>
      </c>
      <c r="G44" s="177">
        <f t="shared" si="17"/>
        <v>15.207963524711449</v>
      </c>
      <c r="H44" s="222">
        <f t="shared" si="18"/>
        <v>1.2673302937259541</v>
      </c>
      <c r="I44" s="452">
        <f t="shared" si="19"/>
        <v>33.79</v>
      </c>
      <c r="J44" s="177">
        <f t="shared" si="20"/>
        <v>1.35</v>
      </c>
      <c r="K44" s="177">
        <f t="shared" si="21"/>
        <v>0.43871866295264633</v>
      </c>
      <c r="L44" s="177">
        <f t="shared" si="22"/>
        <v>0.77142857142857146</v>
      </c>
      <c r="M44" s="452">
        <f t="shared" si="14"/>
        <v>350</v>
      </c>
      <c r="N44" s="202">
        <f t="shared" si="23"/>
        <v>350</v>
      </c>
      <c r="O44" s="222">
        <f t="shared" si="24"/>
        <v>3.1873335306303638</v>
      </c>
      <c r="P44" s="178">
        <f t="shared" si="25"/>
        <v>1.8213334460744934</v>
      </c>
      <c r="Q44" s="178">
        <f t="shared" si="26"/>
        <v>1.0159095035480619</v>
      </c>
      <c r="R44" s="178">
        <f t="shared" si="27"/>
        <v>0.46857142857142853</v>
      </c>
    </row>
    <row r="45" spans="3:18" x14ac:dyDescent="0.2">
      <c r="C45" s="175">
        <v>39</v>
      </c>
      <c r="D45" s="6">
        <f t="shared" si="28"/>
        <v>21.87</v>
      </c>
      <c r="E45" s="452">
        <f t="shared" si="15"/>
        <v>12.25</v>
      </c>
      <c r="F45" s="222">
        <f t="shared" si="16"/>
        <v>0.35902696365767872</v>
      </c>
      <c r="G45" s="177">
        <f t="shared" si="17"/>
        <v>15.291613606389209</v>
      </c>
      <c r="H45" s="222">
        <f t="shared" si="18"/>
        <v>1.2743011338657675</v>
      </c>
      <c r="I45" s="452">
        <f t="shared" si="19"/>
        <v>34.120000000000005</v>
      </c>
      <c r="J45" s="177">
        <f t="shared" si="20"/>
        <v>1.35</v>
      </c>
      <c r="K45" s="177">
        <f t="shared" si="21"/>
        <v>0.4320987654320988</v>
      </c>
      <c r="L45" s="177">
        <f t="shared" si="22"/>
        <v>0.77142857142857146</v>
      </c>
      <c r="M45" s="452">
        <f t="shared" si="14"/>
        <v>350</v>
      </c>
      <c r="N45" s="202">
        <f t="shared" si="23"/>
        <v>350</v>
      </c>
      <c r="O45" s="222">
        <f t="shared" si="24"/>
        <v>3.2048651817116061</v>
      </c>
      <c r="P45" s="178">
        <f t="shared" si="25"/>
        <v>1.8313515324066321</v>
      </c>
      <c r="Q45" s="178">
        <f t="shared" si="26"/>
        <v>1.0271160832947364</v>
      </c>
      <c r="R45" s="178">
        <f t="shared" si="27"/>
        <v>0.46857142857142853</v>
      </c>
    </row>
    <row r="46" spans="3:18" x14ac:dyDescent="0.2">
      <c r="C46" s="175">
        <v>40</v>
      </c>
      <c r="D46" s="6">
        <f t="shared" si="28"/>
        <v>22.200000000000003</v>
      </c>
      <c r="E46" s="452">
        <f t="shared" si="15"/>
        <v>12.25</v>
      </c>
      <c r="F46" s="222">
        <f t="shared" si="16"/>
        <v>0.35558780841799709</v>
      </c>
      <c r="G46" s="177">
        <f t="shared" si="17"/>
        <v>15.373661103047894</v>
      </c>
      <c r="H46" s="222">
        <f t="shared" si="18"/>
        <v>1.2811384252539912</v>
      </c>
      <c r="I46" s="452">
        <f t="shared" si="19"/>
        <v>34.450000000000003</v>
      </c>
      <c r="J46" s="177">
        <f t="shared" si="20"/>
        <v>1.35</v>
      </c>
      <c r="K46" s="177">
        <f t="shared" si="21"/>
        <v>0.42567567567567566</v>
      </c>
      <c r="L46" s="177">
        <f t="shared" si="22"/>
        <v>0.77142857142857146</v>
      </c>
      <c r="M46" s="452">
        <f t="shared" si="14"/>
        <v>350</v>
      </c>
      <c r="N46" s="202">
        <f t="shared" si="23"/>
        <v>350</v>
      </c>
      <c r="O46" s="222">
        <f t="shared" si="24"/>
        <v>3.2220609579100148</v>
      </c>
      <c r="P46" s="178">
        <f t="shared" si="25"/>
        <v>1.841177690234294</v>
      </c>
      <c r="Q46" s="178">
        <f t="shared" si="26"/>
        <v>1.0381676816488001</v>
      </c>
      <c r="R46" s="178">
        <f t="shared" si="27"/>
        <v>0.46857142857142853</v>
      </c>
    </row>
    <row r="47" spans="3:18" x14ac:dyDescent="0.2">
      <c r="C47" s="175">
        <v>41</v>
      </c>
      <c r="D47" s="6">
        <f t="shared" si="28"/>
        <v>22.53</v>
      </c>
      <c r="E47" s="452">
        <f t="shared" si="15"/>
        <v>12.25</v>
      </c>
      <c r="F47" s="222">
        <f t="shared" si="16"/>
        <v>0.35221391604370328</v>
      </c>
      <c r="G47" s="177">
        <f t="shared" si="17"/>
        <v>15.454151631684876</v>
      </c>
      <c r="H47" s="222">
        <f t="shared" si="18"/>
        <v>1.287845969307073</v>
      </c>
      <c r="I47" s="452">
        <f t="shared" si="19"/>
        <v>34.78</v>
      </c>
      <c r="J47" s="177">
        <f t="shared" si="20"/>
        <v>1.35</v>
      </c>
      <c r="K47" s="177">
        <f t="shared" si="21"/>
        <v>0.41944074567243678</v>
      </c>
      <c r="L47" s="177">
        <f t="shared" si="22"/>
        <v>0.77142857142857146</v>
      </c>
      <c r="M47" s="452">
        <f t="shared" si="14"/>
        <v>350</v>
      </c>
      <c r="N47" s="202">
        <f t="shared" si="23"/>
        <v>350</v>
      </c>
      <c r="O47" s="222">
        <f t="shared" si="24"/>
        <v>3.2389304197814841</v>
      </c>
      <c r="P47" s="178">
        <f t="shared" si="25"/>
        <v>1.8508173827322767</v>
      </c>
      <c r="Q47" s="178">
        <f t="shared" si="26"/>
        <v>1.049067026418586</v>
      </c>
      <c r="R47" s="178">
        <f t="shared" si="27"/>
        <v>0.46857142857142853</v>
      </c>
    </row>
    <row r="48" spans="3:18" x14ac:dyDescent="0.2">
      <c r="C48" s="175">
        <v>42</v>
      </c>
      <c r="D48" s="6">
        <f t="shared" si="28"/>
        <v>22.86</v>
      </c>
      <c r="E48" s="452">
        <f t="shared" si="15"/>
        <v>12.25</v>
      </c>
      <c r="F48" s="222">
        <f t="shared" si="16"/>
        <v>0.34890344631159215</v>
      </c>
      <c r="G48" s="177">
        <f t="shared" si="17"/>
        <v>15.533129094275132</v>
      </c>
      <c r="H48" s="222">
        <f t="shared" si="18"/>
        <v>1.2944274245229277</v>
      </c>
      <c r="I48" s="452">
        <f t="shared" si="19"/>
        <v>35.11</v>
      </c>
      <c r="J48" s="177">
        <f t="shared" si="20"/>
        <v>1.35</v>
      </c>
      <c r="K48" s="177">
        <f t="shared" si="21"/>
        <v>0.41338582677165359</v>
      </c>
      <c r="L48" s="177">
        <f t="shared" si="22"/>
        <v>0.77142857142857146</v>
      </c>
      <c r="M48" s="452">
        <f t="shared" si="14"/>
        <v>350</v>
      </c>
      <c r="N48" s="202">
        <f t="shared" si="23"/>
        <v>350</v>
      </c>
      <c r="O48" s="222">
        <f t="shared" si="24"/>
        <v>3.2554827684420391</v>
      </c>
      <c r="P48" s="178">
        <f t="shared" si="25"/>
        <v>1.8602758676811653</v>
      </c>
      <c r="Q48" s="178">
        <f t="shared" si="26"/>
        <v>1.0598168055623043</v>
      </c>
      <c r="R48" s="178">
        <f t="shared" si="27"/>
        <v>0.46857142857142853</v>
      </c>
    </row>
    <row r="49" spans="3:18" x14ac:dyDescent="0.2">
      <c r="C49" s="175">
        <v>43</v>
      </c>
      <c r="D49" s="6">
        <f t="shared" si="28"/>
        <v>23.189999999999998</v>
      </c>
      <c r="E49" s="452">
        <f t="shared" si="15"/>
        <v>12.25</v>
      </c>
      <c r="F49" s="222">
        <f t="shared" si="16"/>
        <v>0.34565462753950343</v>
      </c>
      <c r="G49" s="177">
        <f t="shared" si="17"/>
        <v>15.610635757618509</v>
      </c>
      <c r="H49" s="222">
        <f t="shared" si="18"/>
        <v>1.3008863131348758</v>
      </c>
      <c r="I49" s="452">
        <f t="shared" si="19"/>
        <v>35.44</v>
      </c>
      <c r="J49" s="177">
        <f t="shared" si="20"/>
        <v>1.35</v>
      </c>
      <c r="K49" s="177">
        <f t="shared" si="21"/>
        <v>0.40750323415265211</v>
      </c>
      <c r="L49" s="177">
        <f t="shared" si="22"/>
        <v>0.77142857142857146</v>
      </c>
      <c r="M49" s="452">
        <f t="shared" si="14"/>
        <v>350</v>
      </c>
      <c r="N49" s="202">
        <f t="shared" si="23"/>
        <v>350</v>
      </c>
      <c r="O49" s="222">
        <f t="shared" si="24"/>
        <v>3.2717268623024829</v>
      </c>
      <c r="P49" s="178">
        <f t="shared" si="25"/>
        <v>1.8695582070299903</v>
      </c>
      <c r="Q49" s="178">
        <f t="shared" si="26"/>
        <v>1.0704196661511651</v>
      </c>
      <c r="R49" s="178">
        <f t="shared" si="27"/>
        <v>0.46857142857142853</v>
      </c>
    </row>
    <row r="50" spans="3:18" x14ac:dyDescent="0.2">
      <c r="C50" s="175">
        <v>44</v>
      </c>
      <c r="D50" s="6">
        <f t="shared" si="28"/>
        <v>23.52</v>
      </c>
      <c r="E50" s="452">
        <f t="shared" si="15"/>
        <v>12.25</v>
      </c>
      <c r="F50" s="222">
        <f t="shared" si="16"/>
        <v>0.34246575342465757</v>
      </c>
      <c r="G50" s="177">
        <f t="shared" si="17"/>
        <v>15.68671232876712</v>
      </c>
      <c r="H50" s="222">
        <f t="shared" si="18"/>
        <v>1.30722602739726</v>
      </c>
      <c r="I50" s="452">
        <f t="shared" si="19"/>
        <v>35.769999999999996</v>
      </c>
      <c r="J50" s="177">
        <f t="shared" si="20"/>
        <v>1.35</v>
      </c>
      <c r="K50" s="177">
        <f t="shared" si="21"/>
        <v>0.40178571428571436</v>
      </c>
      <c r="L50" s="177">
        <f t="shared" si="22"/>
        <v>0.77142857142857146</v>
      </c>
      <c r="M50" s="452">
        <f t="shared" si="14"/>
        <v>350</v>
      </c>
      <c r="N50" s="202">
        <f t="shared" si="23"/>
        <v>350</v>
      </c>
      <c r="O50" s="222">
        <f t="shared" si="24"/>
        <v>3.2876712328767121</v>
      </c>
      <c r="P50" s="178">
        <f t="shared" si="25"/>
        <v>1.8786692759295498</v>
      </c>
      <c r="Q50" s="178">
        <f t="shared" si="26"/>
        <v>1.080878213548508</v>
      </c>
      <c r="R50" s="178">
        <f t="shared" si="27"/>
        <v>0.46857142857142853</v>
      </c>
    </row>
    <row r="51" spans="3:18" x14ac:dyDescent="0.2">
      <c r="C51" s="175">
        <v>45</v>
      </c>
      <c r="D51" s="6">
        <f t="shared" si="28"/>
        <v>23.85</v>
      </c>
      <c r="E51" s="452">
        <f t="shared" si="15"/>
        <v>12.25</v>
      </c>
      <c r="F51" s="222">
        <f t="shared" si="16"/>
        <v>0.33933518005540164</v>
      </c>
      <c r="G51" s="177">
        <f t="shared" si="17"/>
        <v>15.761398026315787</v>
      </c>
      <c r="H51" s="222">
        <f t="shared" si="18"/>
        <v>1.3134498355263156</v>
      </c>
      <c r="I51" s="452">
        <f t="shared" si="19"/>
        <v>36.1</v>
      </c>
      <c r="J51" s="177">
        <f t="shared" si="20"/>
        <v>1.35</v>
      </c>
      <c r="K51" s="177">
        <f t="shared" si="21"/>
        <v>0.39622641509433965</v>
      </c>
      <c r="L51" s="177">
        <f t="shared" si="22"/>
        <v>0.77142857142857146</v>
      </c>
      <c r="M51" s="452">
        <f t="shared" si="14"/>
        <v>350</v>
      </c>
      <c r="N51" s="202">
        <f t="shared" si="23"/>
        <v>350</v>
      </c>
      <c r="O51" s="222">
        <f t="shared" si="24"/>
        <v>3.303324099722992</v>
      </c>
      <c r="P51" s="178">
        <f t="shared" si="25"/>
        <v>1.8876137712702812</v>
      </c>
      <c r="Q51" s="178">
        <f t="shared" si="26"/>
        <v>1.0911950107810715</v>
      </c>
      <c r="R51" s="178">
        <f t="shared" si="27"/>
        <v>0.46857142857142853</v>
      </c>
    </row>
    <row r="52" spans="3:18" x14ac:dyDescent="0.2">
      <c r="C52" s="175">
        <v>46</v>
      </c>
      <c r="D52" s="6">
        <f t="shared" si="28"/>
        <v>24.18</v>
      </c>
      <c r="E52" s="452">
        <f t="shared" si="15"/>
        <v>12.25</v>
      </c>
      <c r="F52" s="222">
        <f t="shared" si="16"/>
        <v>0.33626132308536921</v>
      </c>
      <c r="G52" s="177">
        <f t="shared" si="17"/>
        <v>15.834730647817731</v>
      </c>
      <c r="H52" s="222">
        <f t="shared" si="18"/>
        <v>1.3195608873181441</v>
      </c>
      <c r="I52" s="452">
        <f t="shared" si="19"/>
        <v>36.43</v>
      </c>
      <c r="J52" s="177">
        <f t="shared" si="20"/>
        <v>1.35</v>
      </c>
      <c r="K52" s="177">
        <f t="shared" si="21"/>
        <v>0.39081885856079407</v>
      </c>
      <c r="L52" s="177">
        <f t="shared" si="22"/>
        <v>0.77142857142857146</v>
      </c>
      <c r="M52" s="452">
        <f t="shared" si="14"/>
        <v>350</v>
      </c>
      <c r="N52" s="202">
        <f t="shared" si="23"/>
        <v>350</v>
      </c>
      <c r="O52" s="222">
        <f t="shared" si="24"/>
        <v>3.3186933845731539</v>
      </c>
      <c r="P52" s="178">
        <f t="shared" si="25"/>
        <v>1.896396219756088</v>
      </c>
      <c r="Q52" s="178">
        <f t="shared" si="26"/>
        <v>1.1013725780809616</v>
      </c>
      <c r="R52" s="178">
        <f t="shared" si="27"/>
        <v>0.46857142857142853</v>
      </c>
    </row>
    <row r="53" spans="3:18" x14ac:dyDescent="0.2">
      <c r="C53" s="175">
        <v>47</v>
      </c>
      <c r="D53" s="6">
        <f t="shared" si="28"/>
        <v>24.509999999999998</v>
      </c>
      <c r="E53" s="452">
        <f t="shared" si="15"/>
        <v>12.25</v>
      </c>
      <c r="F53" s="222">
        <f t="shared" si="16"/>
        <v>0.33324265505984768</v>
      </c>
      <c r="G53" s="177">
        <f t="shared" si="17"/>
        <v>15.906746633569094</v>
      </c>
      <c r="H53" s="222">
        <f t="shared" si="18"/>
        <v>1.3255622194640913</v>
      </c>
      <c r="I53" s="452">
        <f t="shared" si="19"/>
        <v>36.76</v>
      </c>
      <c r="J53" s="177">
        <f t="shared" si="20"/>
        <v>1.35</v>
      </c>
      <c r="K53" s="177">
        <f t="shared" si="21"/>
        <v>0.38555691554467569</v>
      </c>
      <c r="L53" s="177">
        <f t="shared" si="22"/>
        <v>0.77142857142857146</v>
      </c>
      <c r="M53" s="452">
        <f t="shared" si="14"/>
        <v>350</v>
      </c>
      <c r="N53" s="202">
        <f t="shared" si="23"/>
        <v>350</v>
      </c>
      <c r="O53" s="222">
        <f t="shared" si="24"/>
        <v>3.3337867247007615</v>
      </c>
      <c r="P53" s="178">
        <f t="shared" si="25"/>
        <v>1.9050209855432922</v>
      </c>
      <c r="Q53" s="178">
        <f t="shared" si="26"/>
        <v>1.111413392579103</v>
      </c>
      <c r="R53" s="178">
        <f t="shared" si="27"/>
        <v>0.46857142857142853</v>
      </c>
    </row>
    <row r="54" spans="3:18" x14ac:dyDescent="0.2">
      <c r="C54" s="175">
        <v>48</v>
      </c>
      <c r="D54" s="6">
        <f t="shared" si="28"/>
        <v>24.84</v>
      </c>
      <c r="E54" s="452">
        <f t="shared" si="15"/>
        <v>12.25</v>
      </c>
      <c r="F54" s="222">
        <f t="shared" si="16"/>
        <v>0.33027770288487462</v>
      </c>
      <c r="G54" s="177">
        <f t="shared" si="17"/>
        <v>15.977481126988403</v>
      </c>
      <c r="H54" s="222">
        <f t="shared" si="18"/>
        <v>1.3314567605823668</v>
      </c>
      <c r="I54" s="452">
        <f t="shared" si="19"/>
        <v>37.090000000000003</v>
      </c>
      <c r="J54" s="177">
        <f t="shared" si="20"/>
        <v>1.35</v>
      </c>
      <c r="K54" s="177">
        <f t="shared" si="21"/>
        <v>0.38043478260869568</v>
      </c>
      <c r="L54" s="177">
        <f t="shared" si="22"/>
        <v>0.77142857142857146</v>
      </c>
      <c r="M54" s="452">
        <f t="shared" si="14"/>
        <v>350</v>
      </c>
      <c r="N54" s="202">
        <f t="shared" si="23"/>
        <v>350</v>
      </c>
      <c r="O54" s="222">
        <f t="shared" si="24"/>
        <v>3.3486114855756268</v>
      </c>
      <c r="P54" s="178">
        <f t="shared" si="25"/>
        <v>1.9134922774717866</v>
      </c>
      <c r="Q54" s="178">
        <f t="shared" si="26"/>
        <v>1.1213198881329005</v>
      </c>
      <c r="R54" s="178">
        <f t="shared" si="27"/>
        <v>0.46857142857142853</v>
      </c>
    </row>
    <row r="55" spans="3:18" x14ac:dyDescent="0.2">
      <c r="C55" s="175">
        <v>49</v>
      </c>
      <c r="D55" s="6">
        <f t="shared" si="28"/>
        <v>25.169999999999998</v>
      </c>
      <c r="E55" s="452">
        <f t="shared" si="15"/>
        <v>12.25</v>
      </c>
      <c r="F55" s="222">
        <f t="shared" si="16"/>
        <v>0.32736504543025119</v>
      </c>
      <c r="G55" s="177">
        <f t="shared" si="17"/>
        <v>16.046968031801171</v>
      </c>
      <c r="H55" s="222">
        <f t="shared" si="18"/>
        <v>1.3372473359834309</v>
      </c>
      <c r="I55" s="452">
        <f t="shared" si="19"/>
        <v>37.42</v>
      </c>
      <c r="J55" s="177">
        <f t="shared" si="20"/>
        <v>1.35</v>
      </c>
      <c r="K55" s="177">
        <f t="shared" si="21"/>
        <v>0.37544696066746136</v>
      </c>
      <c r="L55" s="177">
        <f t="shared" si="22"/>
        <v>0.77142857142857146</v>
      </c>
      <c r="M55" s="452">
        <f t="shared" si="14"/>
        <v>350</v>
      </c>
      <c r="N55" s="202">
        <f t="shared" si="23"/>
        <v>350</v>
      </c>
      <c r="O55" s="222">
        <f t="shared" si="24"/>
        <v>3.363174772848744</v>
      </c>
      <c r="P55" s="178">
        <f t="shared" si="25"/>
        <v>1.921814155913568</v>
      </c>
      <c r="Q55" s="178">
        <f t="shared" si="26"/>
        <v>1.1310944552726201</v>
      </c>
      <c r="R55" s="178">
        <f t="shared" si="27"/>
        <v>0.46857142857142853</v>
      </c>
    </row>
    <row r="56" spans="3:18" x14ac:dyDescent="0.2">
      <c r="C56" s="175">
        <v>50</v>
      </c>
      <c r="D56" s="6">
        <f t="shared" si="28"/>
        <v>25.5</v>
      </c>
      <c r="E56" s="452">
        <f t="shared" si="15"/>
        <v>12.25</v>
      </c>
      <c r="F56" s="222">
        <f t="shared" si="16"/>
        <v>0.32450331125827814</v>
      </c>
      <c r="G56" s="177">
        <f t="shared" si="17"/>
        <v>16.115240066225162</v>
      </c>
      <c r="H56" s="222">
        <f t="shared" si="18"/>
        <v>1.3429366721854301</v>
      </c>
      <c r="I56" s="452">
        <f t="shared" si="19"/>
        <v>37.75</v>
      </c>
      <c r="J56" s="177">
        <f t="shared" si="20"/>
        <v>1.35</v>
      </c>
      <c r="K56" s="177">
        <f t="shared" si="21"/>
        <v>0.37058823529411766</v>
      </c>
      <c r="L56" s="177">
        <f t="shared" si="22"/>
        <v>0.77142857142857146</v>
      </c>
      <c r="M56" s="452">
        <f t="shared" si="14"/>
        <v>350</v>
      </c>
      <c r="N56" s="202">
        <f t="shared" si="23"/>
        <v>350</v>
      </c>
      <c r="O56" s="222">
        <f t="shared" si="24"/>
        <v>3.3774834437086092</v>
      </c>
      <c r="P56" s="178">
        <f t="shared" si="25"/>
        <v>1.929990539262062</v>
      </c>
      <c r="Q56" s="178">
        <f t="shared" si="26"/>
        <v>1.1407394412525764</v>
      </c>
      <c r="R56" s="178">
        <f t="shared" si="27"/>
        <v>0.46857142857142853</v>
      </c>
    </row>
    <row r="57" spans="3:18" x14ac:dyDescent="0.2">
      <c r="C57" s="175">
        <v>51</v>
      </c>
      <c r="D57" s="6">
        <f t="shared" si="28"/>
        <v>25.830000000000002</v>
      </c>
      <c r="E57" s="452">
        <f t="shared" si="15"/>
        <v>12.25</v>
      </c>
      <c r="F57" s="222">
        <f t="shared" si="16"/>
        <v>0.32169117647058826</v>
      </c>
      <c r="G57" s="177">
        <f t="shared" si="17"/>
        <v>16.182328814338234</v>
      </c>
      <c r="H57" s="222">
        <f t="shared" si="18"/>
        <v>1.3485274011948529</v>
      </c>
      <c r="I57" s="452">
        <f t="shared" si="19"/>
        <v>38.08</v>
      </c>
      <c r="J57" s="177">
        <f t="shared" si="20"/>
        <v>1.35</v>
      </c>
      <c r="K57" s="177">
        <f t="shared" si="21"/>
        <v>0.36585365853658536</v>
      </c>
      <c r="L57" s="177">
        <f t="shared" si="22"/>
        <v>0.77142857142857146</v>
      </c>
      <c r="M57" s="452">
        <f t="shared" si="14"/>
        <v>350</v>
      </c>
      <c r="N57" s="202">
        <f t="shared" si="23"/>
        <v>350</v>
      </c>
      <c r="O57" s="222">
        <f t="shared" si="24"/>
        <v>3.3915441176470593</v>
      </c>
      <c r="P57" s="178">
        <f t="shared" si="25"/>
        <v>1.9380252100840338</v>
      </c>
      <c r="Q57" s="178">
        <f t="shared" si="26"/>
        <v>1.150257150194637</v>
      </c>
      <c r="R57" s="178">
        <f t="shared" si="27"/>
        <v>0.46857142857142853</v>
      </c>
    </row>
    <row r="58" spans="3:18" x14ac:dyDescent="0.2">
      <c r="C58" s="175">
        <v>52</v>
      </c>
      <c r="D58" s="6">
        <f t="shared" si="28"/>
        <v>26.16</v>
      </c>
      <c r="E58" s="452">
        <f t="shared" si="15"/>
        <v>12.25</v>
      </c>
      <c r="F58" s="222">
        <f t="shared" si="16"/>
        <v>0.31892736266597244</v>
      </c>
      <c r="G58" s="177">
        <f t="shared" si="17"/>
        <v>16.248264774798226</v>
      </c>
      <c r="H58" s="222">
        <f t="shared" si="18"/>
        <v>1.3540220645665189</v>
      </c>
      <c r="I58" s="452">
        <f t="shared" si="19"/>
        <v>38.409999999999997</v>
      </c>
      <c r="J58" s="177">
        <f t="shared" si="20"/>
        <v>1.35</v>
      </c>
      <c r="K58" s="177">
        <f t="shared" si="21"/>
        <v>0.36123853211009177</v>
      </c>
      <c r="L58" s="177">
        <f t="shared" si="22"/>
        <v>0.77142857142857146</v>
      </c>
      <c r="M58" s="452">
        <f t="shared" si="14"/>
        <v>350</v>
      </c>
      <c r="N58" s="202">
        <f t="shared" si="23"/>
        <v>350</v>
      </c>
      <c r="O58" s="222">
        <f t="shared" si="24"/>
        <v>3.4053631866701379</v>
      </c>
      <c r="P58" s="178">
        <f t="shared" si="25"/>
        <v>1.9459218209543645</v>
      </c>
      <c r="Q58" s="178">
        <f t="shared" si="26"/>
        <v>1.1596498433128197</v>
      </c>
      <c r="R58" s="178">
        <f t="shared" si="27"/>
        <v>0.46857142857142853</v>
      </c>
    </row>
    <row r="59" spans="3:18" x14ac:dyDescent="0.2">
      <c r="C59" s="175">
        <v>53</v>
      </c>
      <c r="D59" s="6">
        <f t="shared" si="28"/>
        <v>26.490000000000002</v>
      </c>
      <c r="E59" s="452">
        <f t="shared" si="15"/>
        <v>12.25</v>
      </c>
      <c r="F59" s="222">
        <f t="shared" si="16"/>
        <v>0.31621063500258129</v>
      </c>
      <c r="G59" s="177">
        <f t="shared" si="17"/>
        <v>16.313077407072793</v>
      </c>
      <c r="H59" s="222">
        <f t="shared" si="18"/>
        <v>1.359423117256066</v>
      </c>
      <c r="I59" s="452">
        <f t="shared" si="19"/>
        <v>38.74</v>
      </c>
      <c r="J59" s="177">
        <f t="shared" si="20"/>
        <v>1.35</v>
      </c>
      <c r="K59" s="177">
        <f t="shared" si="21"/>
        <v>0.35673839184597966</v>
      </c>
      <c r="L59" s="177">
        <f t="shared" si="22"/>
        <v>0.77142857142857146</v>
      </c>
      <c r="M59" s="452">
        <f t="shared" si="14"/>
        <v>350</v>
      </c>
      <c r="N59" s="202">
        <f t="shared" si="23"/>
        <v>350</v>
      </c>
      <c r="O59" s="222">
        <f t="shared" si="24"/>
        <v>3.4189468249870938</v>
      </c>
      <c r="P59" s="178">
        <f t="shared" si="25"/>
        <v>1.9536838999926249</v>
      </c>
      <c r="Q59" s="178">
        <f t="shared" si="26"/>
        <v>1.168919739208933</v>
      </c>
      <c r="R59" s="178">
        <f t="shared" si="27"/>
        <v>0.46857142857142853</v>
      </c>
    </row>
    <row r="60" spans="3:18" x14ac:dyDescent="0.2">
      <c r="C60" s="175">
        <v>54</v>
      </c>
      <c r="D60" s="6">
        <f t="shared" si="28"/>
        <v>26.82</v>
      </c>
      <c r="E60" s="452">
        <f t="shared" si="15"/>
        <v>12.25</v>
      </c>
      <c r="F60" s="222">
        <f t="shared" si="16"/>
        <v>0.31353980035833118</v>
      </c>
      <c r="G60" s="177">
        <f t="shared" si="17"/>
        <v>16.376795175326336</v>
      </c>
      <c r="H60" s="222">
        <f t="shared" si="18"/>
        <v>1.3647329312771947</v>
      </c>
      <c r="I60" s="452">
        <f t="shared" si="19"/>
        <v>39.07</v>
      </c>
      <c r="J60" s="177">
        <f t="shared" si="20"/>
        <v>1.35</v>
      </c>
      <c r="K60" s="177">
        <f t="shared" si="21"/>
        <v>0.35234899328859065</v>
      </c>
      <c r="L60" s="177">
        <f t="shared" si="22"/>
        <v>0.77142857142857146</v>
      </c>
      <c r="M60" s="452">
        <f t="shared" si="14"/>
        <v>350</v>
      </c>
      <c r="N60" s="202">
        <f t="shared" si="23"/>
        <v>350</v>
      </c>
      <c r="O60" s="222">
        <f t="shared" si="24"/>
        <v>3.4323009982083437</v>
      </c>
      <c r="P60" s="178">
        <f t="shared" si="25"/>
        <v>1.9613148561190537</v>
      </c>
      <c r="Q60" s="178">
        <f t="shared" si="26"/>
        <v>1.1780690142301995</v>
      </c>
      <c r="R60" s="178">
        <f t="shared" si="27"/>
        <v>0.46857142857142853</v>
      </c>
    </row>
    <row r="61" spans="3:18" x14ac:dyDescent="0.2">
      <c r="C61" s="175">
        <v>55</v>
      </c>
      <c r="D61" s="6">
        <f t="shared" si="28"/>
        <v>27.150000000000002</v>
      </c>
      <c r="E61" s="452">
        <f t="shared" si="15"/>
        <v>12.25</v>
      </c>
      <c r="F61" s="222">
        <f t="shared" si="16"/>
        <v>0.31091370558375631</v>
      </c>
      <c r="G61" s="177">
        <f t="shared" si="17"/>
        <v>16.439445590101521</v>
      </c>
      <c r="H61" s="222">
        <f t="shared" si="18"/>
        <v>1.3699537991751267</v>
      </c>
      <c r="I61" s="452">
        <f t="shared" si="19"/>
        <v>39.400000000000006</v>
      </c>
      <c r="J61" s="177">
        <f t="shared" si="20"/>
        <v>1.35</v>
      </c>
      <c r="K61" s="177">
        <f t="shared" si="21"/>
        <v>0.34806629834254144</v>
      </c>
      <c r="L61" s="177">
        <f t="shared" si="22"/>
        <v>0.77142857142857146</v>
      </c>
      <c r="M61" s="452">
        <f t="shared" si="14"/>
        <v>350</v>
      </c>
      <c r="N61" s="202">
        <f t="shared" si="23"/>
        <v>350</v>
      </c>
      <c r="O61" s="222">
        <f t="shared" si="24"/>
        <v>3.4454314720812182</v>
      </c>
      <c r="P61" s="178">
        <f t="shared" si="25"/>
        <v>1.9688179840464104</v>
      </c>
      <c r="Q61" s="178">
        <f t="shared" si="26"/>
        <v>1.1870998028807751</v>
      </c>
      <c r="R61" s="178">
        <f t="shared" si="27"/>
        <v>0.46857142857142853</v>
      </c>
    </row>
    <row r="62" spans="3:18" x14ac:dyDescent="0.2">
      <c r="C62" s="175">
        <v>56</v>
      </c>
      <c r="D62" s="6">
        <f t="shared" si="28"/>
        <v>27.48</v>
      </c>
      <c r="E62" s="452">
        <f t="shared" si="15"/>
        <v>12.25</v>
      </c>
      <c r="F62" s="222">
        <f t="shared" si="16"/>
        <v>0.308331235841933</v>
      </c>
      <c r="G62" s="177">
        <f t="shared" si="17"/>
        <v>16.501055247923478</v>
      </c>
      <c r="H62" s="222">
        <f t="shared" si="18"/>
        <v>1.3750879373269564</v>
      </c>
      <c r="I62" s="452">
        <f t="shared" si="19"/>
        <v>39.730000000000004</v>
      </c>
      <c r="J62" s="177">
        <f t="shared" si="20"/>
        <v>1.35</v>
      </c>
      <c r="K62" s="177">
        <f t="shared" si="21"/>
        <v>0.34388646288209612</v>
      </c>
      <c r="L62" s="177">
        <f t="shared" si="22"/>
        <v>0.77142857142857146</v>
      </c>
      <c r="M62" s="452">
        <f t="shared" si="14"/>
        <v>350</v>
      </c>
      <c r="N62" s="202">
        <f t="shared" si="23"/>
        <v>350</v>
      </c>
      <c r="O62" s="222">
        <f t="shared" si="24"/>
        <v>3.458343820790335</v>
      </c>
      <c r="P62" s="178">
        <f t="shared" si="25"/>
        <v>1.9761964690230487</v>
      </c>
      <c r="Q62" s="178">
        <f t="shared" si="26"/>
        <v>1.1960141982798693</v>
      </c>
      <c r="R62" s="178">
        <f t="shared" si="27"/>
        <v>0.46857142857142853</v>
      </c>
    </row>
    <row r="63" spans="3:18" x14ac:dyDescent="0.2">
      <c r="C63" s="175">
        <v>57</v>
      </c>
      <c r="D63" s="6">
        <f t="shared" si="28"/>
        <v>27.81</v>
      </c>
      <c r="E63" s="452">
        <f t="shared" si="15"/>
        <v>12.25</v>
      </c>
      <c r="F63" s="222">
        <f t="shared" si="16"/>
        <v>0.30579131303045431</v>
      </c>
      <c r="G63" s="177">
        <f t="shared" si="17"/>
        <v>16.561649868946578</v>
      </c>
      <c r="H63" s="222">
        <f t="shared" si="18"/>
        <v>1.3801374890788816</v>
      </c>
      <c r="I63" s="452">
        <f t="shared" si="19"/>
        <v>40.06</v>
      </c>
      <c r="J63" s="177">
        <f t="shared" si="20"/>
        <v>1.35</v>
      </c>
      <c r="K63" s="177">
        <f t="shared" si="21"/>
        <v>0.33980582524271846</v>
      </c>
      <c r="L63" s="177">
        <f t="shared" si="22"/>
        <v>0.77142857142857146</v>
      </c>
      <c r="M63" s="452">
        <f t="shared" si="14"/>
        <v>350</v>
      </c>
      <c r="N63" s="202">
        <f t="shared" si="23"/>
        <v>350</v>
      </c>
      <c r="O63" s="222">
        <f t="shared" si="24"/>
        <v>3.4710434348477284</v>
      </c>
      <c r="P63" s="178">
        <f t="shared" si="25"/>
        <v>1.9834533913415591</v>
      </c>
      <c r="Q63" s="178">
        <f t="shared" si="26"/>
        <v>1.2048142526599515</v>
      </c>
      <c r="R63" s="178">
        <f t="shared" si="27"/>
        <v>0.46857142857142853</v>
      </c>
    </row>
    <row r="64" spans="3:18" x14ac:dyDescent="0.2">
      <c r="C64" s="175">
        <v>58</v>
      </c>
      <c r="D64" s="6">
        <f t="shared" si="28"/>
        <v>28.139999999999997</v>
      </c>
      <c r="E64" s="452">
        <f t="shared" si="15"/>
        <v>12.25</v>
      </c>
      <c r="F64" s="222">
        <f t="shared" si="16"/>
        <v>0.30329289428076256</v>
      </c>
      <c r="G64" s="177">
        <f t="shared" si="17"/>
        <v>16.62125433275563</v>
      </c>
      <c r="H64" s="222">
        <f t="shared" si="18"/>
        <v>1.3851045277296359</v>
      </c>
      <c r="I64" s="452">
        <f t="shared" si="19"/>
        <v>40.39</v>
      </c>
      <c r="J64" s="177">
        <f t="shared" si="20"/>
        <v>1.35</v>
      </c>
      <c r="K64" s="177">
        <f t="shared" si="21"/>
        <v>0.33582089552238809</v>
      </c>
      <c r="L64" s="177">
        <f t="shared" si="22"/>
        <v>0.77142857142857146</v>
      </c>
      <c r="M64" s="452">
        <f t="shared" si="14"/>
        <v>350</v>
      </c>
      <c r="N64" s="202">
        <f t="shared" si="23"/>
        <v>350</v>
      </c>
      <c r="O64" s="222">
        <f t="shared" si="24"/>
        <v>3.4835355285961871</v>
      </c>
      <c r="P64" s="178">
        <f t="shared" si="25"/>
        <v>1.9905917306263927</v>
      </c>
      <c r="Q64" s="178">
        <f t="shared" si="26"/>
        <v>1.2135019778991918</v>
      </c>
      <c r="R64" s="178">
        <f t="shared" si="27"/>
        <v>0.46857142857142853</v>
      </c>
    </row>
    <row r="65" spans="3:18" x14ac:dyDescent="0.2">
      <c r="C65" s="175">
        <v>59</v>
      </c>
      <c r="D65" s="6">
        <f t="shared" si="28"/>
        <v>28.47</v>
      </c>
      <c r="E65" s="452">
        <f t="shared" si="15"/>
        <v>12.25</v>
      </c>
      <c r="F65" s="222">
        <f t="shared" si="16"/>
        <v>0.30083497053045188</v>
      </c>
      <c r="G65" s="177">
        <f t="shared" si="17"/>
        <v>16.679892712426323</v>
      </c>
      <c r="H65" s="222">
        <f t="shared" si="18"/>
        <v>1.3899910593688602</v>
      </c>
      <c r="I65" s="452">
        <f t="shared" si="19"/>
        <v>40.72</v>
      </c>
      <c r="J65" s="177">
        <f t="shared" si="20"/>
        <v>1.35</v>
      </c>
      <c r="K65" s="177">
        <f t="shared" si="21"/>
        <v>0.33192834562697582</v>
      </c>
      <c r="L65" s="177">
        <f t="shared" si="22"/>
        <v>0.77142857142857146</v>
      </c>
      <c r="M65" s="452">
        <f t="shared" si="14"/>
        <v>350</v>
      </c>
      <c r="N65" s="202">
        <f t="shared" si="23"/>
        <v>350</v>
      </c>
      <c r="O65" s="222">
        <f t="shared" si="24"/>
        <v>3.4958251473477406</v>
      </c>
      <c r="P65" s="178">
        <f t="shared" si="25"/>
        <v>1.9976143699129945</v>
      </c>
      <c r="Q65" s="178">
        <f t="shared" si="26"/>
        <v>1.2220793460828852</v>
      </c>
      <c r="R65" s="178">
        <f t="shared" si="27"/>
        <v>0.46857142857142853</v>
      </c>
    </row>
    <row r="66" spans="3:18" x14ac:dyDescent="0.2">
      <c r="C66" s="175">
        <v>60</v>
      </c>
      <c r="D66" s="6">
        <f t="shared" si="28"/>
        <v>28.8</v>
      </c>
      <c r="E66" s="452">
        <f t="shared" si="15"/>
        <v>12.25</v>
      </c>
      <c r="F66" s="222">
        <f t="shared" si="16"/>
        <v>0.29841656516443366</v>
      </c>
      <c r="G66" s="177">
        <f t="shared" si="17"/>
        <v>16.737588306942751</v>
      </c>
      <c r="H66" s="222">
        <f t="shared" si="18"/>
        <v>1.3947990255785625</v>
      </c>
      <c r="I66" s="452">
        <f t="shared" si="19"/>
        <v>41.05</v>
      </c>
      <c r="J66" s="177">
        <f t="shared" si="20"/>
        <v>1.35</v>
      </c>
      <c r="K66" s="177">
        <f t="shared" si="21"/>
        <v>0.32812500000000006</v>
      </c>
      <c r="L66" s="177">
        <f t="shared" si="22"/>
        <v>0.77142857142857146</v>
      </c>
      <c r="M66" s="452">
        <f t="shared" si="14"/>
        <v>350</v>
      </c>
      <c r="N66" s="202">
        <f t="shared" si="23"/>
        <v>350</v>
      </c>
      <c r="O66" s="222">
        <f t="shared" si="24"/>
        <v>3.5079171741778321</v>
      </c>
      <c r="P66" s="178">
        <f t="shared" si="25"/>
        <v>2.0045240995301898</v>
      </c>
      <c r="Q66" s="178">
        <f t="shared" si="26"/>
        <v>1.2305482900891789</v>
      </c>
      <c r="R66" s="178">
        <f t="shared" si="27"/>
        <v>0.46857142857142853</v>
      </c>
    </row>
    <row r="67" spans="3:18" x14ac:dyDescent="0.2">
      <c r="C67" s="175">
        <v>61</v>
      </c>
      <c r="D67" s="6">
        <f t="shared" si="28"/>
        <v>29.13</v>
      </c>
      <c r="E67" s="452">
        <f t="shared" si="15"/>
        <v>12.25</v>
      </c>
      <c r="F67" s="222">
        <f t="shared" si="16"/>
        <v>0.29603673272112135</v>
      </c>
      <c r="G67" s="177">
        <f t="shared" si="17"/>
        <v>16.794363672063799</v>
      </c>
      <c r="H67" s="222">
        <f t="shared" si="18"/>
        <v>1.3995303060053166</v>
      </c>
      <c r="I67" s="452">
        <f t="shared" si="19"/>
        <v>41.379999999999995</v>
      </c>
      <c r="J67" s="177">
        <f t="shared" si="20"/>
        <v>1.35</v>
      </c>
      <c r="K67" s="177">
        <f t="shared" si="21"/>
        <v>0.32440782698249232</v>
      </c>
      <c r="L67" s="177">
        <f t="shared" si="22"/>
        <v>0.77142857142857146</v>
      </c>
      <c r="M67" s="452">
        <f t="shared" si="14"/>
        <v>350</v>
      </c>
      <c r="N67" s="202">
        <f t="shared" si="23"/>
        <v>350</v>
      </c>
      <c r="O67" s="222">
        <f t="shared" si="24"/>
        <v>3.5198163363943933</v>
      </c>
      <c r="P67" s="178">
        <f t="shared" si="25"/>
        <v>2.0113236207967962</v>
      </c>
      <c r="Q67" s="178">
        <f t="shared" si="26"/>
        <v>1.2389107041948848</v>
      </c>
      <c r="R67" s="178">
        <f t="shared" si="27"/>
        <v>0.46857142857142853</v>
      </c>
    </row>
    <row r="68" spans="3:18" x14ac:dyDescent="0.2">
      <c r="C68" s="175">
        <v>62</v>
      </c>
      <c r="D68" s="6">
        <f t="shared" si="28"/>
        <v>29.46</v>
      </c>
      <c r="E68" s="452">
        <f t="shared" si="15"/>
        <v>12.25</v>
      </c>
      <c r="F68" s="222">
        <f t="shared" si="16"/>
        <v>0.29369455766003355</v>
      </c>
      <c r="G68" s="177">
        <f t="shared" si="17"/>
        <v>16.850240649724284</v>
      </c>
      <c r="H68" s="222">
        <f t="shared" si="18"/>
        <v>1.4041867208103571</v>
      </c>
      <c r="I68" s="452">
        <f t="shared" si="19"/>
        <v>41.71</v>
      </c>
      <c r="J68" s="177">
        <f t="shared" si="20"/>
        <v>1.35</v>
      </c>
      <c r="K68" s="177">
        <f t="shared" si="21"/>
        <v>0.3207739307535642</v>
      </c>
      <c r="L68" s="177">
        <f t="shared" si="22"/>
        <v>0.77142857142857146</v>
      </c>
      <c r="M68" s="452">
        <f t="shared" si="14"/>
        <v>350</v>
      </c>
      <c r="N68" s="202">
        <f t="shared" si="23"/>
        <v>350</v>
      </c>
      <c r="O68" s="222">
        <f t="shared" si="24"/>
        <v>3.5315272116998315</v>
      </c>
      <c r="P68" s="178">
        <f t="shared" si="25"/>
        <v>2.0180155495427607</v>
      </c>
      <c r="Q68" s="178">
        <f t="shared" si="26"/>
        <v>1.2471684446976388</v>
      </c>
      <c r="R68" s="178">
        <f t="shared" si="27"/>
        <v>0.46857142857142853</v>
      </c>
    </row>
    <row r="69" spans="3:18" x14ac:dyDescent="0.2">
      <c r="C69" s="175">
        <v>63</v>
      </c>
      <c r="D69" s="6">
        <f t="shared" si="28"/>
        <v>29.79</v>
      </c>
      <c r="E69" s="452">
        <f t="shared" si="15"/>
        <v>12.25</v>
      </c>
      <c r="F69" s="222">
        <f t="shared" si="16"/>
        <v>0.29138915318744052</v>
      </c>
      <c r="G69" s="177">
        <f t="shared" si="17"/>
        <v>16.905240396051376</v>
      </c>
      <c r="H69" s="222">
        <f t="shared" si="18"/>
        <v>1.4087700330042814</v>
      </c>
      <c r="I69" s="452">
        <f t="shared" si="19"/>
        <v>42.04</v>
      </c>
      <c r="J69" s="177">
        <f t="shared" si="20"/>
        <v>1.35</v>
      </c>
      <c r="K69" s="177">
        <f t="shared" si="21"/>
        <v>0.31722054380664655</v>
      </c>
      <c r="L69" s="177">
        <f t="shared" si="22"/>
        <v>0.77142857142857146</v>
      </c>
      <c r="M69" s="452">
        <f t="shared" si="14"/>
        <v>350</v>
      </c>
      <c r="N69" s="202">
        <f t="shared" si="23"/>
        <v>350</v>
      </c>
      <c r="O69" s="222">
        <f t="shared" si="24"/>
        <v>3.5430542340627973</v>
      </c>
      <c r="P69" s="178">
        <f t="shared" si="25"/>
        <v>2.0246024194644554</v>
      </c>
      <c r="Q69" s="178">
        <f t="shared" si="26"/>
        <v>1.2553233305510314</v>
      </c>
      <c r="R69" s="178">
        <f t="shared" si="27"/>
        <v>0.46857142857142853</v>
      </c>
    </row>
    <row r="70" spans="3:18" x14ac:dyDescent="0.2">
      <c r="C70" s="175">
        <v>64</v>
      </c>
      <c r="D70" s="6">
        <f t="shared" si="28"/>
        <v>30.12</v>
      </c>
      <c r="E70" s="452">
        <f t="shared" ref="E70:E106" si="29">(Vout+Vfwd1)*Nps</f>
        <v>12.25</v>
      </c>
      <c r="F70" s="222">
        <f t="shared" ref="F70:F106" si="30">(Vout+Vfwd1)*Nps/((Vout+Vfwd1)*Nps+D70)</f>
        <v>0.28911966013688928</v>
      </c>
      <c r="G70" s="177">
        <f t="shared" ref="G70:G101" si="31">F70*D70*Isw_max*0.5*Efficiency</f>
        <v>16.959383408071744</v>
      </c>
      <c r="H70" s="222">
        <f t="shared" ref="H70:H101" si="32">G70/Vout</f>
        <v>1.4132819506726453</v>
      </c>
      <c r="I70" s="452">
        <f t="shared" ref="I70:I106" si="33">(Vout+Vfwd1)*Nps+D70</f>
        <v>42.370000000000005</v>
      </c>
      <c r="J70" s="177">
        <f t="shared" ref="J70:J106" si="34">MIN(2*Vout*Iout/(Efficiency*D70*F70), 1.35)</f>
        <v>1.35</v>
      </c>
      <c r="K70" s="177">
        <f t="shared" ref="K70:K101" si="35">L*J70/D70*1000000</f>
        <v>0.31374501992031878</v>
      </c>
      <c r="L70" s="177">
        <f t="shared" ref="L70:L106" si="36">L*J70/((Vout+Vfwd1)*Nps)*1000000</f>
        <v>0.77142857142857146</v>
      </c>
      <c r="M70" s="452">
        <f t="shared" si="14"/>
        <v>350</v>
      </c>
      <c r="N70" s="202">
        <f t="shared" ref="N70:N106" si="37">IF(1/((350000*L)*(1/D70+1/E70))&gt;Isw_min, 350, 0.001/((Isw_min*L)*(1/D70+1/E70)))</f>
        <v>350</v>
      </c>
      <c r="O70" s="222">
        <f t="shared" ref="O70:O101" si="38">1/((N70*1000*L)*(1/D70+1/E70))</f>
        <v>3.5544016993155534</v>
      </c>
      <c r="P70" s="178">
        <f t="shared" ref="P70:P101" si="39">L*O70/E70*1000000</f>
        <v>2.0310866853231735</v>
      </c>
      <c r="Q70" s="178">
        <f t="shared" ref="Q70:Q101" si="40">0.5*P70*O70*Nps*N70/1000</f>
        <v>1.2633771440097297</v>
      </c>
      <c r="R70" s="178">
        <f t="shared" ref="R70:R106" si="41">L*Isw_min/E70*1000000</f>
        <v>0.46857142857142853</v>
      </c>
    </row>
    <row r="71" spans="3:18" x14ac:dyDescent="0.2">
      <c r="C71" s="175">
        <v>65</v>
      </c>
      <c r="D71" s="6">
        <f t="shared" ref="D71:D102" si="42">C71/100*(VIN_max-VIN_min)+VIN_min</f>
        <v>30.45</v>
      </c>
      <c r="E71" s="452">
        <f t="shared" si="29"/>
        <v>12.25</v>
      </c>
      <c r="F71" s="222">
        <f t="shared" si="30"/>
        <v>0.28688524590163933</v>
      </c>
      <c r="G71" s="177">
        <f t="shared" si="31"/>
        <v>17.012689549180326</v>
      </c>
      <c r="H71" s="222">
        <f t="shared" si="32"/>
        <v>1.4177241290983604</v>
      </c>
      <c r="I71" s="452">
        <f t="shared" si="33"/>
        <v>42.7</v>
      </c>
      <c r="J71" s="177">
        <f t="shared" si="34"/>
        <v>1.35</v>
      </c>
      <c r="K71" s="177">
        <f t="shared" si="35"/>
        <v>0.31034482758620696</v>
      </c>
      <c r="L71" s="177">
        <f t="shared" si="36"/>
        <v>0.77142857142857146</v>
      </c>
      <c r="M71" s="452">
        <f t="shared" ref="M71:M106" si="43">MIN(1/(K71+L71)*1000, 350)</f>
        <v>350</v>
      </c>
      <c r="N71" s="202">
        <f t="shared" si="37"/>
        <v>350</v>
      </c>
      <c r="O71" s="222">
        <f t="shared" si="38"/>
        <v>3.5655737704918029</v>
      </c>
      <c r="P71" s="178">
        <f t="shared" si="39"/>
        <v>2.0374707259953158</v>
      </c>
      <c r="Q71" s="178">
        <f t="shared" si="40"/>
        <v>1.2713316312819132</v>
      </c>
      <c r="R71" s="178">
        <f t="shared" si="41"/>
        <v>0.46857142857142853</v>
      </c>
    </row>
    <row r="72" spans="3:18" x14ac:dyDescent="0.2">
      <c r="C72" s="175">
        <v>66</v>
      </c>
      <c r="D72" s="6">
        <f t="shared" si="42"/>
        <v>30.78</v>
      </c>
      <c r="E72" s="452">
        <f t="shared" si="29"/>
        <v>12.25</v>
      </c>
      <c r="F72" s="222">
        <f t="shared" si="30"/>
        <v>0.28468510341622122</v>
      </c>
      <c r="G72" s="177">
        <f t="shared" si="31"/>
        <v>17.065178073437131</v>
      </c>
      <c r="H72" s="222">
        <f t="shared" si="32"/>
        <v>1.4220981727864277</v>
      </c>
      <c r="I72" s="452">
        <f t="shared" si="33"/>
        <v>43.03</v>
      </c>
      <c r="J72" s="177">
        <f t="shared" si="34"/>
        <v>1.35</v>
      </c>
      <c r="K72" s="177">
        <f t="shared" si="35"/>
        <v>0.30701754385964913</v>
      </c>
      <c r="L72" s="177">
        <f t="shared" si="36"/>
        <v>0.77142857142857146</v>
      </c>
      <c r="M72" s="452">
        <f t="shared" si="43"/>
        <v>350</v>
      </c>
      <c r="N72" s="202">
        <f t="shared" si="37"/>
        <v>350</v>
      </c>
      <c r="O72" s="222">
        <f t="shared" si="38"/>
        <v>3.5765744829188941</v>
      </c>
      <c r="P72" s="178">
        <f t="shared" si="39"/>
        <v>2.043756847382225</v>
      </c>
      <c r="Q72" s="178">
        <f t="shared" si="40"/>
        <v>1.2791885031866552</v>
      </c>
      <c r="R72" s="178">
        <f t="shared" si="41"/>
        <v>0.46857142857142853</v>
      </c>
    </row>
    <row r="73" spans="3:18" x14ac:dyDescent="0.2">
      <c r="C73" s="175">
        <v>67</v>
      </c>
      <c r="D73" s="6">
        <f t="shared" si="42"/>
        <v>31.110000000000003</v>
      </c>
      <c r="E73" s="452">
        <f t="shared" si="29"/>
        <v>12.25</v>
      </c>
      <c r="F73" s="222">
        <f t="shared" si="30"/>
        <v>0.28251845018450183</v>
      </c>
      <c r="G73" s="177">
        <f t="shared" si="31"/>
        <v>17.11686764875461</v>
      </c>
      <c r="H73" s="222">
        <f t="shared" si="32"/>
        <v>1.4264056373962175</v>
      </c>
      <c r="I73" s="452">
        <f t="shared" si="33"/>
        <v>43.36</v>
      </c>
      <c r="J73" s="177">
        <f t="shared" si="34"/>
        <v>1.35</v>
      </c>
      <c r="K73" s="177">
        <f t="shared" si="35"/>
        <v>0.3037608486017358</v>
      </c>
      <c r="L73" s="177">
        <f t="shared" si="36"/>
        <v>0.77142857142857146</v>
      </c>
      <c r="M73" s="452">
        <f t="shared" si="43"/>
        <v>350</v>
      </c>
      <c r="N73" s="202">
        <f t="shared" si="37"/>
        <v>350</v>
      </c>
      <c r="O73" s="222">
        <f t="shared" si="38"/>
        <v>3.5874077490774914</v>
      </c>
      <c r="P73" s="178">
        <f t="shared" si="39"/>
        <v>2.0499472851871379</v>
      </c>
      <c r="Q73" s="178">
        <f t="shared" si="40"/>
        <v>1.2869494358141234</v>
      </c>
      <c r="R73" s="178">
        <f t="shared" si="41"/>
        <v>0.46857142857142853</v>
      </c>
    </row>
    <row r="74" spans="3:18" x14ac:dyDescent="0.2">
      <c r="C74" s="175">
        <v>68</v>
      </c>
      <c r="D74" s="6">
        <f t="shared" si="42"/>
        <v>31.44</v>
      </c>
      <c r="E74" s="452">
        <f t="shared" si="29"/>
        <v>12.25</v>
      </c>
      <c r="F74" s="222">
        <f t="shared" si="30"/>
        <v>0.28038452735179675</v>
      </c>
      <c r="G74" s="177">
        <f t="shared" si="31"/>
        <v>17.167776379034105</v>
      </c>
      <c r="H74" s="222">
        <f t="shared" si="32"/>
        <v>1.4306480315861754</v>
      </c>
      <c r="I74" s="452">
        <f t="shared" si="33"/>
        <v>43.69</v>
      </c>
      <c r="J74" s="177">
        <f t="shared" si="34"/>
        <v>1.35</v>
      </c>
      <c r="K74" s="177">
        <f t="shared" si="35"/>
        <v>0.30057251908396948</v>
      </c>
      <c r="L74" s="177">
        <f t="shared" si="36"/>
        <v>0.77142857142857146</v>
      </c>
      <c r="M74" s="452">
        <f t="shared" si="43"/>
        <v>350</v>
      </c>
      <c r="N74" s="202">
        <f t="shared" si="37"/>
        <v>350</v>
      </c>
      <c r="O74" s="222">
        <f t="shared" si="38"/>
        <v>3.5980773632410163</v>
      </c>
      <c r="P74" s="178">
        <f t="shared" si="39"/>
        <v>2.0560442075662952</v>
      </c>
      <c r="Q74" s="178">
        <f t="shared" si="40"/>
        <v>1.2946160711867427</v>
      </c>
      <c r="R74" s="178">
        <f t="shared" si="41"/>
        <v>0.46857142857142853</v>
      </c>
    </row>
    <row r="75" spans="3:18" x14ac:dyDescent="0.2">
      <c r="C75" s="175">
        <v>69</v>
      </c>
      <c r="D75" s="6">
        <f t="shared" si="42"/>
        <v>31.77</v>
      </c>
      <c r="E75" s="452">
        <f t="shared" si="29"/>
        <v>12.25</v>
      </c>
      <c r="F75" s="222">
        <f t="shared" si="30"/>
        <v>0.27828259881871881</v>
      </c>
      <c r="G75" s="177">
        <f t="shared" si="31"/>
        <v>17.217921825306679</v>
      </c>
      <c r="H75" s="222">
        <f t="shared" si="32"/>
        <v>1.4348268187755566</v>
      </c>
      <c r="I75" s="452">
        <f t="shared" si="33"/>
        <v>44.019999999999996</v>
      </c>
      <c r="J75" s="177">
        <f t="shared" si="34"/>
        <v>1.35</v>
      </c>
      <c r="K75" s="177">
        <f t="shared" si="35"/>
        <v>0.2974504249291785</v>
      </c>
      <c r="L75" s="177">
        <f t="shared" si="36"/>
        <v>0.77142857142857146</v>
      </c>
      <c r="M75" s="452">
        <f t="shared" si="43"/>
        <v>350</v>
      </c>
      <c r="N75" s="202">
        <f t="shared" si="37"/>
        <v>350</v>
      </c>
      <c r="O75" s="222">
        <f t="shared" si="38"/>
        <v>3.608587005906406</v>
      </c>
      <c r="P75" s="178">
        <f t="shared" si="39"/>
        <v>2.0620497176608032</v>
      </c>
      <c r="Q75" s="178">
        <f t="shared" si="40"/>
        <v>1.3021900179196557</v>
      </c>
      <c r="R75" s="178">
        <f t="shared" si="41"/>
        <v>0.46857142857142853</v>
      </c>
    </row>
    <row r="76" spans="3:18" x14ac:dyDescent="0.2">
      <c r="C76" s="175">
        <v>70</v>
      </c>
      <c r="D76" s="6">
        <f t="shared" si="42"/>
        <v>32.099999999999994</v>
      </c>
      <c r="E76" s="452">
        <f t="shared" si="29"/>
        <v>12.25</v>
      </c>
      <c r="F76" s="222">
        <f t="shared" si="30"/>
        <v>0.27621195039458851</v>
      </c>
      <c r="G76" s="177">
        <f t="shared" si="31"/>
        <v>17.267321025930094</v>
      </c>
      <c r="H76" s="222">
        <f t="shared" si="32"/>
        <v>1.4389434188275079</v>
      </c>
      <c r="I76" s="452">
        <f t="shared" si="33"/>
        <v>44.349999999999994</v>
      </c>
      <c r="J76" s="177">
        <f t="shared" si="34"/>
        <v>1.35</v>
      </c>
      <c r="K76" s="177">
        <f t="shared" si="35"/>
        <v>0.29439252336448607</v>
      </c>
      <c r="L76" s="177">
        <f t="shared" si="36"/>
        <v>0.77142857142857146</v>
      </c>
      <c r="M76" s="452">
        <f t="shared" si="43"/>
        <v>350</v>
      </c>
      <c r="N76" s="202">
        <f t="shared" si="37"/>
        <v>350</v>
      </c>
      <c r="O76" s="222">
        <f t="shared" si="38"/>
        <v>3.6189402480270574</v>
      </c>
      <c r="P76" s="178">
        <f t="shared" si="39"/>
        <v>2.0679658560154617</v>
      </c>
      <c r="Q76" s="178">
        <f t="shared" si="40"/>
        <v>1.3096728518790142</v>
      </c>
      <c r="R76" s="178">
        <f t="shared" si="41"/>
        <v>0.46857142857142853</v>
      </c>
    </row>
    <row r="77" spans="3:18" x14ac:dyDescent="0.2">
      <c r="C77" s="175">
        <v>71</v>
      </c>
      <c r="D77" s="6">
        <f t="shared" si="42"/>
        <v>32.43</v>
      </c>
      <c r="E77" s="452">
        <f t="shared" si="29"/>
        <v>12.25</v>
      </c>
      <c r="F77" s="222">
        <f t="shared" si="30"/>
        <v>0.2741718889883617</v>
      </c>
      <c r="G77" s="177">
        <f t="shared" si="31"/>
        <v>17.315990515890778</v>
      </c>
      <c r="H77" s="222">
        <f t="shared" si="32"/>
        <v>1.4429992096575648</v>
      </c>
      <c r="I77" s="452">
        <f t="shared" si="33"/>
        <v>44.68</v>
      </c>
      <c r="J77" s="177">
        <f t="shared" si="34"/>
        <v>1.35</v>
      </c>
      <c r="K77" s="177">
        <f t="shared" si="35"/>
        <v>0.29139685476410737</v>
      </c>
      <c r="L77" s="177">
        <f t="shared" si="36"/>
        <v>0.77142857142857146</v>
      </c>
      <c r="M77" s="452">
        <f t="shared" si="43"/>
        <v>350</v>
      </c>
      <c r="N77" s="202">
        <f t="shared" si="37"/>
        <v>350</v>
      </c>
      <c r="O77" s="222">
        <f t="shared" si="38"/>
        <v>3.6291405550581914</v>
      </c>
      <c r="P77" s="178">
        <f t="shared" si="39"/>
        <v>2.0737946028903953</v>
      </c>
      <c r="Q77" s="178">
        <f t="shared" si="40"/>
        <v>1.3170661168368079</v>
      </c>
      <c r="R77" s="178">
        <f t="shared" si="41"/>
        <v>0.46857142857142853</v>
      </c>
    </row>
    <row r="78" spans="3:18" x14ac:dyDescent="0.2">
      <c r="C78" s="175">
        <v>72</v>
      </c>
      <c r="D78" s="6">
        <f t="shared" si="42"/>
        <v>32.76</v>
      </c>
      <c r="E78" s="452">
        <f t="shared" si="29"/>
        <v>12.25</v>
      </c>
      <c r="F78" s="222">
        <f t="shared" si="30"/>
        <v>0.27216174183514774</v>
      </c>
      <c r="G78" s="177">
        <f t="shared" si="31"/>
        <v>17.363946345256604</v>
      </c>
      <c r="H78" s="222">
        <f t="shared" si="32"/>
        <v>1.4469955287713836</v>
      </c>
      <c r="I78" s="452">
        <f t="shared" si="33"/>
        <v>45.01</v>
      </c>
      <c r="J78" s="177">
        <f t="shared" si="34"/>
        <v>1.35</v>
      </c>
      <c r="K78" s="177">
        <f t="shared" si="35"/>
        <v>0.28846153846153849</v>
      </c>
      <c r="L78" s="177">
        <f t="shared" si="36"/>
        <v>0.77142857142857146</v>
      </c>
      <c r="M78" s="452">
        <f t="shared" si="43"/>
        <v>350</v>
      </c>
      <c r="N78" s="202">
        <f t="shared" si="37"/>
        <v>350</v>
      </c>
      <c r="O78" s="222">
        <f t="shared" si="38"/>
        <v>3.639191290824261</v>
      </c>
      <c r="P78" s="178">
        <f t="shared" si="39"/>
        <v>2.0795378804710061</v>
      </c>
      <c r="Q78" s="178">
        <f t="shared" si="40"/>
        <v>1.3243713251211149</v>
      </c>
      <c r="R78" s="178">
        <f t="shared" si="41"/>
        <v>0.46857142857142853</v>
      </c>
    </row>
    <row r="79" spans="3:18" x14ac:dyDescent="0.2">
      <c r="C79" s="175">
        <v>73</v>
      </c>
      <c r="D79" s="6">
        <f t="shared" si="42"/>
        <v>33.090000000000003</v>
      </c>
      <c r="E79" s="452">
        <f t="shared" si="29"/>
        <v>12.25</v>
      </c>
      <c r="F79" s="222">
        <f t="shared" si="30"/>
        <v>0.27018085575650636</v>
      </c>
      <c r="G79" s="177">
        <f t="shared" si="31"/>
        <v>17.411204096823994</v>
      </c>
      <c r="H79" s="222">
        <f t="shared" si="32"/>
        <v>1.4509336747353327</v>
      </c>
      <c r="I79" s="452">
        <f t="shared" si="33"/>
        <v>45.34</v>
      </c>
      <c r="J79" s="177">
        <f t="shared" si="34"/>
        <v>1.35</v>
      </c>
      <c r="K79" s="177">
        <f t="shared" si="35"/>
        <v>0.28558476881232997</v>
      </c>
      <c r="L79" s="177">
        <f t="shared" si="36"/>
        <v>0.77142857142857146</v>
      </c>
      <c r="M79" s="452">
        <f t="shared" si="43"/>
        <v>350</v>
      </c>
      <c r="N79" s="202">
        <f t="shared" si="37"/>
        <v>350</v>
      </c>
      <c r="O79" s="222">
        <f t="shared" si="38"/>
        <v>3.6490957212174684</v>
      </c>
      <c r="P79" s="178">
        <f t="shared" si="39"/>
        <v>2.0851975549814101</v>
      </c>
      <c r="Q79" s="178">
        <f t="shared" si="40"/>
        <v>1.3315899582607633</v>
      </c>
      <c r="R79" s="178">
        <f t="shared" si="41"/>
        <v>0.46857142857142853</v>
      </c>
    </row>
    <row r="80" spans="3:18" x14ac:dyDescent="0.2">
      <c r="C80" s="175">
        <v>74</v>
      </c>
      <c r="D80" s="6">
        <f t="shared" si="42"/>
        <v>33.42</v>
      </c>
      <c r="E80" s="452">
        <f t="shared" si="29"/>
        <v>12.25</v>
      </c>
      <c r="F80" s="222">
        <f t="shared" si="30"/>
        <v>0.26822859645281366</v>
      </c>
      <c r="G80" s="177">
        <f t="shared" si="31"/>
        <v>17.457778902999781</v>
      </c>
      <c r="H80" s="222">
        <f t="shared" si="32"/>
        <v>1.4548149085833151</v>
      </c>
      <c r="I80" s="452">
        <f t="shared" si="33"/>
        <v>45.67</v>
      </c>
      <c r="J80" s="177">
        <f t="shared" si="34"/>
        <v>1.35</v>
      </c>
      <c r="K80" s="177">
        <f t="shared" si="35"/>
        <v>0.28276481149012567</v>
      </c>
      <c r="L80" s="177">
        <f t="shared" si="36"/>
        <v>0.77142857142857146</v>
      </c>
      <c r="M80" s="452">
        <f t="shared" si="43"/>
        <v>350</v>
      </c>
      <c r="N80" s="202">
        <f t="shared" si="37"/>
        <v>350</v>
      </c>
      <c r="O80" s="222">
        <f t="shared" si="38"/>
        <v>3.6588570177359316</v>
      </c>
      <c r="P80" s="178">
        <f t="shared" si="39"/>
        <v>2.0907754387062467</v>
      </c>
      <c r="Q80" s="178">
        <f t="shared" si="40"/>
        <v>1.3387234676235475</v>
      </c>
      <c r="R80" s="178">
        <f t="shared" si="41"/>
        <v>0.46857142857142853</v>
      </c>
    </row>
    <row r="81" spans="3:18" x14ac:dyDescent="0.2">
      <c r="C81" s="175">
        <v>75</v>
      </c>
      <c r="D81" s="6">
        <f t="shared" si="42"/>
        <v>33.75</v>
      </c>
      <c r="E81" s="452">
        <f t="shared" si="29"/>
        <v>12.25</v>
      </c>
      <c r="F81" s="222">
        <f t="shared" si="30"/>
        <v>0.26630434782608697</v>
      </c>
      <c r="G81" s="177">
        <f t="shared" si="31"/>
        <v>17.503685461956522</v>
      </c>
      <c r="H81" s="222">
        <f t="shared" si="32"/>
        <v>1.4586404551630434</v>
      </c>
      <c r="I81" s="452">
        <f t="shared" si="33"/>
        <v>46</v>
      </c>
      <c r="J81" s="177">
        <f t="shared" si="34"/>
        <v>1.35</v>
      </c>
      <c r="K81" s="177">
        <f t="shared" si="35"/>
        <v>0.28000000000000003</v>
      </c>
      <c r="L81" s="177">
        <f t="shared" si="36"/>
        <v>0.77142857142857146</v>
      </c>
      <c r="M81" s="452">
        <f t="shared" si="43"/>
        <v>350</v>
      </c>
      <c r="N81" s="202">
        <f t="shared" si="37"/>
        <v>350</v>
      </c>
      <c r="O81" s="222">
        <f t="shared" si="38"/>
        <v>3.668478260869565</v>
      </c>
      <c r="P81" s="178">
        <f t="shared" si="39"/>
        <v>2.0962732919254656</v>
      </c>
      <c r="Q81" s="178">
        <f t="shared" si="40"/>
        <v>1.3457732750472586</v>
      </c>
      <c r="R81" s="178">
        <f t="shared" si="41"/>
        <v>0.46857142857142853</v>
      </c>
    </row>
    <row r="82" spans="3:18" x14ac:dyDescent="0.2">
      <c r="C82" s="175">
        <v>76</v>
      </c>
      <c r="D82" s="6">
        <f t="shared" si="42"/>
        <v>34.08</v>
      </c>
      <c r="E82" s="452">
        <f t="shared" si="29"/>
        <v>12.25</v>
      </c>
      <c r="F82" s="222">
        <f t="shared" si="30"/>
        <v>0.2644075113317505</v>
      </c>
      <c r="G82" s="177">
        <f t="shared" si="31"/>
        <v>17.548938053097341</v>
      </c>
      <c r="H82" s="222">
        <f t="shared" si="32"/>
        <v>1.4624115044247785</v>
      </c>
      <c r="I82" s="452">
        <f t="shared" si="33"/>
        <v>46.33</v>
      </c>
      <c r="J82" s="177">
        <f t="shared" si="34"/>
        <v>1.35</v>
      </c>
      <c r="K82" s="177">
        <f t="shared" si="35"/>
        <v>0.27728873239436624</v>
      </c>
      <c r="L82" s="177">
        <f t="shared" si="36"/>
        <v>0.77142857142857146</v>
      </c>
      <c r="M82" s="452">
        <f t="shared" si="43"/>
        <v>350</v>
      </c>
      <c r="N82" s="202">
        <f t="shared" si="37"/>
        <v>350</v>
      </c>
      <c r="O82" s="222">
        <f t="shared" si="38"/>
        <v>3.6779624433412477</v>
      </c>
      <c r="P82" s="178">
        <f t="shared" si="39"/>
        <v>2.101692824766427</v>
      </c>
      <c r="Q82" s="178">
        <f t="shared" si="40"/>
        <v>1.3527407734628718</v>
      </c>
      <c r="R82" s="178">
        <f t="shared" si="41"/>
        <v>0.46857142857142853</v>
      </c>
    </row>
    <row r="83" spans="3:18" x14ac:dyDescent="0.2">
      <c r="C83" s="175">
        <v>77</v>
      </c>
      <c r="D83" s="6">
        <f t="shared" si="42"/>
        <v>34.409999999999997</v>
      </c>
      <c r="E83" s="452">
        <f t="shared" si="29"/>
        <v>12.25</v>
      </c>
      <c r="F83" s="222">
        <f t="shared" si="30"/>
        <v>0.26253750535790832</v>
      </c>
      <c r="G83" s="177">
        <f t="shared" si="31"/>
        <v>17.593550551864549</v>
      </c>
      <c r="H83" s="222">
        <f t="shared" si="32"/>
        <v>1.4661292126553791</v>
      </c>
      <c r="I83" s="452">
        <f t="shared" si="33"/>
        <v>46.66</v>
      </c>
      <c r="J83" s="177">
        <f t="shared" si="34"/>
        <v>1.35</v>
      </c>
      <c r="K83" s="177">
        <f t="shared" si="35"/>
        <v>0.27462946817785533</v>
      </c>
      <c r="L83" s="177">
        <f t="shared" si="36"/>
        <v>0.77142857142857146</v>
      </c>
      <c r="M83" s="452">
        <f t="shared" si="43"/>
        <v>350</v>
      </c>
      <c r="N83" s="202">
        <f t="shared" si="37"/>
        <v>350</v>
      </c>
      <c r="O83" s="222">
        <f t="shared" si="38"/>
        <v>3.6873124732104583</v>
      </c>
      <c r="P83" s="178">
        <f t="shared" si="39"/>
        <v>2.1070356989774051</v>
      </c>
      <c r="Q83" s="178">
        <f t="shared" si="40"/>
        <v>1.3596273275093429</v>
      </c>
      <c r="R83" s="178">
        <f t="shared" si="41"/>
        <v>0.46857142857142853</v>
      </c>
    </row>
    <row r="84" spans="3:18" x14ac:dyDescent="0.2">
      <c r="C84" s="175">
        <v>78</v>
      </c>
      <c r="D84" s="6">
        <f t="shared" si="42"/>
        <v>34.74</v>
      </c>
      <c r="E84" s="452">
        <f t="shared" si="29"/>
        <v>12.25</v>
      </c>
      <c r="F84" s="222">
        <f t="shared" si="30"/>
        <v>0.26069376463077248</v>
      </c>
      <c r="G84" s="177">
        <f t="shared" si="31"/>
        <v>17.63753644392424</v>
      </c>
      <c r="H84" s="222">
        <f t="shared" si="32"/>
        <v>1.4697947036603534</v>
      </c>
      <c r="I84" s="452">
        <f t="shared" si="33"/>
        <v>46.99</v>
      </c>
      <c r="J84" s="177">
        <f t="shared" si="34"/>
        <v>1.35</v>
      </c>
      <c r="K84" s="177">
        <f t="shared" si="35"/>
        <v>0.27202072538860106</v>
      </c>
      <c r="L84" s="177">
        <f t="shared" si="36"/>
        <v>0.77142857142857146</v>
      </c>
      <c r="M84" s="452">
        <f t="shared" si="43"/>
        <v>350</v>
      </c>
      <c r="N84" s="202">
        <f t="shared" si="37"/>
        <v>350</v>
      </c>
      <c r="O84" s="222">
        <f t="shared" si="38"/>
        <v>3.696531176846138</v>
      </c>
      <c r="P84" s="178">
        <f t="shared" si="39"/>
        <v>2.1123035296263644</v>
      </c>
      <c r="Q84" s="178">
        <f t="shared" si="40"/>
        <v>1.3664342741395492</v>
      </c>
      <c r="R84" s="178">
        <f t="shared" si="41"/>
        <v>0.46857142857142853</v>
      </c>
    </row>
    <row r="85" spans="3:18" x14ac:dyDescent="0.2">
      <c r="C85" s="175">
        <v>79</v>
      </c>
      <c r="D85" s="6">
        <f t="shared" si="42"/>
        <v>35.07</v>
      </c>
      <c r="E85" s="452">
        <f t="shared" si="29"/>
        <v>12.25</v>
      </c>
      <c r="F85" s="222">
        <f t="shared" si="30"/>
        <v>0.2588757396449704</v>
      </c>
      <c r="G85" s="177">
        <f t="shared" si="31"/>
        <v>17.680908838757393</v>
      </c>
      <c r="H85" s="222">
        <f t="shared" si="32"/>
        <v>1.4734090698964495</v>
      </c>
      <c r="I85" s="452">
        <f t="shared" si="33"/>
        <v>47.32</v>
      </c>
      <c r="J85" s="177">
        <f t="shared" si="34"/>
        <v>1.35</v>
      </c>
      <c r="K85" s="177">
        <f t="shared" si="35"/>
        <v>0.26946107784431139</v>
      </c>
      <c r="L85" s="177">
        <f t="shared" si="36"/>
        <v>0.77142857142857146</v>
      </c>
      <c r="M85" s="452">
        <f t="shared" si="43"/>
        <v>350</v>
      </c>
      <c r="N85" s="202">
        <f t="shared" si="37"/>
        <v>350</v>
      </c>
      <c r="O85" s="222">
        <f t="shared" si="38"/>
        <v>3.7056213017751474</v>
      </c>
      <c r="P85" s="178">
        <f t="shared" si="39"/>
        <v>2.1174978867286556</v>
      </c>
      <c r="Q85" s="178">
        <f t="shared" si="40"/>
        <v>1.3731629232169738</v>
      </c>
      <c r="R85" s="178">
        <f t="shared" si="41"/>
        <v>0.46857142857142853</v>
      </c>
    </row>
    <row r="86" spans="3:18" x14ac:dyDescent="0.2">
      <c r="C86" s="175">
        <v>80</v>
      </c>
      <c r="D86" s="6">
        <f t="shared" si="42"/>
        <v>35.400000000000006</v>
      </c>
      <c r="E86" s="452">
        <f t="shared" si="29"/>
        <v>12.25</v>
      </c>
      <c r="F86" s="222">
        <f t="shared" si="30"/>
        <v>0.25708289611752355</v>
      </c>
      <c r="G86" s="177">
        <f t="shared" si="31"/>
        <v>17.723680482686252</v>
      </c>
      <c r="H86" s="222">
        <f t="shared" si="32"/>
        <v>1.4769733735571877</v>
      </c>
      <c r="I86" s="452">
        <f t="shared" si="33"/>
        <v>47.650000000000006</v>
      </c>
      <c r="J86" s="177">
        <f t="shared" si="34"/>
        <v>1.35</v>
      </c>
      <c r="K86" s="177">
        <f t="shared" si="35"/>
        <v>0.26694915254237284</v>
      </c>
      <c r="L86" s="177">
        <f t="shared" si="36"/>
        <v>0.77142857142857146</v>
      </c>
      <c r="M86" s="452">
        <f t="shared" si="43"/>
        <v>350</v>
      </c>
      <c r="N86" s="202">
        <f t="shared" si="37"/>
        <v>350</v>
      </c>
      <c r="O86" s="222">
        <f t="shared" si="38"/>
        <v>3.7145855194123816</v>
      </c>
      <c r="P86" s="178">
        <f t="shared" si="39"/>
        <v>2.1226202968070753</v>
      </c>
      <c r="Q86" s="178">
        <f t="shared" si="40"/>
        <v>1.3798145581028154</v>
      </c>
      <c r="R86" s="178">
        <f t="shared" si="41"/>
        <v>0.46857142857142853</v>
      </c>
    </row>
    <row r="87" spans="3:18" x14ac:dyDescent="0.2">
      <c r="C87" s="175">
        <v>81</v>
      </c>
      <c r="D87" s="6">
        <f t="shared" si="42"/>
        <v>35.730000000000004</v>
      </c>
      <c r="E87" s="452">
        <f t="shared" si="29"/>
        <v>12.25</v>
      </c>
      <c r="F87" s="222">
        <f t="shared" si="30"/>
        <v>0.2553147144643601</v>
      </c>
      <c r="G87" s="177">
        <f t="shared" si="31"/>
        <v>17.765863771363062</v>
      </c>
      <c r="H87" s="222">
        <f t="shared" si="32"/>
        <v>1.4804886476135886</v>
      </c>
      <c r="I87" s="452">
        <f t="shared" si="33"/>
        <v>47.980000000000004</v>
      </c>
      <c r="J87" s="177">
        <f t="shared" si="34"/>
        <v>1.35</v>
      </c>
      <c r="K87" s="177">
        <f t="shared" si="35"/>
        <v>0.26448362720403024</v>
      </c>
      <c r="L87" s="177">
        <f t="shared" si="36"/>
        <v>0.77142857142857146</v>
      </c>
      <c r="M87" s="452">
        <f t="shared" si="43"/>
        <v>350</v>
      </c>
      <c r="N87" s="202">
        <f t="shared" si="37"/>
        <v>350</v>
      </c>
      <c r="O87" s="222">
        <f t="shared" si="38"/>
        <v>3.723426427678199</v>
      </c>
      <c r="P87" s="178">
        <f t="shared" si="39"/>
        <v>2.1276722443875422</v>
      </c>
      <c r="Q87" s="178">
        <f t="shared" si="40"/>
        <v>1.3863904362332433</v>
      </c>
      <c r="R87" s="178">
        <f t="shared" si="41"/>
        <v>0.46857142857142853</v>
      </c>
    </row>
    <row r="88" spans="3:18" x14ac:dyDescent="0.2">
      <c r="C88" s="175">
        <v>82</v>
      </c>
      <c r="D88" s="6">
        <f t="shared" si="42"/>
        <v>36.06</v>
      </c>
      <c r="E88" s="452">
        <f t="shared" si="29"/>
        <v>12.25</v>
      </c>
      <c r="F88" s="222">
        <f t="shared" si="30"/>
        <v>0.25357068929828191</v>
      </c>
      <c r="G88" s="177">
        <f t="shared" si="31"/>
        <v>17.807470761747048</v>
      </c>
      <c r="H88" s="222">
        <f t="shared" si="32"/>
        <v>1.4839558968122539</v>
      </c>
      <c r="I88" s="452">
        <f t="shared" si="33"/>
        <v>48.31</v>
      </c>
      <c r="J88" s="177">
        <f t="shared" si="34"/>
        <v>1.35</v>
      </c>
      <c r="K88" s="177">
        <f t="shared" si="35"/>
        <v>0.26206322795341097</v>
      </c>
      <c r="L88" s="177">
        <f t="shared" si="36"/>
        <v>0.77142857142857146</v>
      </c>
      <c r="M88" s="452">
        <f t="shared" si="43"/>
        <v>350</v>
      </c>
      <c r="N88" s="202">
        <f t="shared" si="37"/>
        <v>350</v>
      </c>
      <c r="O88" s="222">
        <f t="shared" si="38"/>
        <v>3.7321465535085903</v>
      </c>
      <c r="P88" s="178">
        <f t="shared" si="39"/>
        <v>2.1326551734334798</v>
      </c>
      <c r="Q88" s="178">
        <f t="shared" si="40"/>
        <v>1.3928917896866047</v>
      </c>
      <c r="R88" s="178">
        <f t="shared" si="41"/>
        <v>0.46857142857142853</v>
      </c>
    </row>
    <row r="89" spans="3:18" x14ac:dyDescent="0.2">
      <c r="C89" s="175">
        <v>83</v>
      </c>
      <c r="D89" s="6">
        <f t="shared" si="42"/>
        <v>36.39</v>
      </c>
      <c r="E89" s="452">
        <f t="shared" si="29"/>
        <v>12.25</v>
      </c>
      <c r="F89" s="222">
        <f t="shared" si="30"/>
        <v>0.25185032894736842</v>
      </c>
      <c r="G89" s="177">
        <f t="shared" si="31"/>
        <v>17.848513183593745</v>
      </c>
      <c r="H89" s="222">
        <f t="shared" si="32"/>
        <v>1.4873760986328122</v>
      </c>
      <c r="I89" s="452">
        <f t="shared" si="33"/>
        <v>48.64</v>
      </c>
      <c r="J89" s="177">
        <f t="shared" si="34"/>
        <v>1.35</v>
      </c>
      <c r="K89" s="177">
        <f t="shared" si="35"/>
        <v>0.25968672712283597</v>
      </c>
      <c r="L89" s="177">
        <f t="shared" si="36"/>
        <v>0.77142857142857146</v>
      </c>
      <c r="M89" s="452">
        <f t="shared" si="43"/>
        <v>350</v>
      </c>
      <c r="N89" s="202">
        <f t="shared" si="37"/>
        <v>350</v>
      </c>
      <c r="O89" s="222">
        <f t="shared" si="38"/>
        <v>3.740748355263158</v>
      </c>
      <c r="P89" s="178">
        <f t="shared" si="39"/>
        <v>2.1375704887218046</v>
      </c>
      <c r="Q89" s="178">
        <f t="shared" si="40"/>
        <v>1.3993198257404023</v>
      </c>
      <c r="R89" s="178">
        <f t="shared" si="41"/>
        <v>0.46857142857142853</v>
      </c>
    </row>
    <row r="90" spans="3:18" x14ac:dyDescent="0.2">
      <c r="C90" s="175">
        <v>84</v>
      </c>
      <c r="D90" s="6">
        <f t="shared" si="42"/>
        <v>36.72</v>
      </c>
      <c r="E90" s="452">
        <f t="shared" si="29"/>
        <v>12.25</v>
      </c>
      <c r="F90" s="222">
        <f t="shared" si="30"/>
        <v>0.25015315499285279</v>
      </c>
      <c r="G90" s="177">
        <f t="shared" si="31"/>
        <v>17.889002450479886</v>
      </c>
      <c r="H90" s="222">
        <f t="shared" si="32"/>
        <v>1.4907502042066572</v>
      </c>
      <c r="I90" s="452">
        <f t="shared" si="33"/>
        <v>48.97</v>
      </c>
      <c r="J90" s="177">
        <f t="shared" si="34"/>
        <v>1.35</v>
      </c>
      <c r="K90" s="177">
        <f t="shared" si="35"/>
        <v>0.25735294117647062</v>
      </c>
      <c r="L90" s="177">
        <f t="shared" si="36"/>
        <v>0.77142857142857146</v>
      </c>
      <c r="M90" s="452">
        <f t="shared" si="43"/>
        <v>350</v>
      </c>
      <c r="N90" s="202">
        <f t="shared" si="37"/>
        <v>350</v>
      </c>
      <c r="O90" s="222">
        <f t="shared" si="38"/>
        <v>3.7492342250357358</v>
      </c>
      <c r="P90" s="178">
        <f t="shared" si="39"/>
        <v>2.1424195571632776</v>
      </c>
      <c r="Q90" s="178">
        <f t="shared" si="40"/>
        <v>1.4056757274179315</v>
      </c>
      <c r="R90" s="178">
        <f t="shared" si="41"/>
        <v>0.46857142857142853</v>
      </c>
    </row>
    <row r="91" spans="3:18" x14ac:dyDescent="0.2">
      <c r="C91" s="175">
        <v>85</v>
      </c>
      <c r="D91" s="6">
        <f t="shared" si="42"/>
        <v>37.049999999999997</v>
      </c>
      <c r="E91" s="452">
        <f t="shared" si="29"/>
        <v>12.25</v>
      </c>
      <c r="F91" s="222">
        <f t="shared" si="30"/>
        <v>0.24847870182555781</v>
      </c>
      <c r="G91" s="177">
        <f t="shared" si="31"/>
        <v>17.928949670385393</v>
      </c>
      <c r="H91" s="222">
        <f t="shared" si="32"/>
        <v>1.4940791391987827</v>
      </c>
      <c r="I91" s="452">
        <f t="shared" si="33"/>
        <v>49.3</v>
      </c>
      <c r="J91" s="177">
        <f t="shared" si="34"/>
        <v>1.35</v>
      </c>
      <c r="K91" s="177">
        <f t="shared" si="35"/>
        <v>0.25506072874493935</v>
      </c>
      <c r="L91" s="177">
        <f t="shared" si="36"/>
        <v>0.77142857142857146</v>
      </c>
      <c r="M91" s="452">
        <f t="shared" si="43"/>
        <v>350</v>
      </c>
      <c r="N91" s="202">
        <f t="shared" si="37"/>
        <v>350</v>
      </c>
      <c r="O91" s="222">
        <f t="shared" si="38"/>
        <v>3.7576064908722104</v>
      </c>
      <c r="P91" s="178">
        <f t="shared" si="39"/>
        <v>2.1472037090698346</v>
      </c>
      <c r="Q91" s="178">
        <f t="shared" si="40"/>
        <v>1.4119606540244967</v>
      </c>
      <c r="R91" s="178">
        <f t="shared" si="41"/>
        <v>0.46857142857142853</v>
      </c>
    </row>
    <row r="92" spans="3:18" x14ac:dyDescent="0.2">
      <c r="C92" s="175">
        <v>86</v>
      </c>
      <c r="D92" s="6">
        <f t="shared" si="42"/>
        <v>37.379999999999995</v>
      </c>
      <c r="E92" s="452">
        <f t="shared" si="29"/>
        <v>12.25</v>
      </c>
      <c r="F92" s="222">
        <f t="shared" si="30"/>
        <v>0.24682651622002824</v>
      </c>
      <c r="G92" s="177">
        <f t="shared" si="31"/>
        <v>17.968365655853315</v>
      </c>
      <c r="H92" s="222">
        <f t="shared" si="32"/>
        <v>1.4973638046544429</v>
      </c>
      <c r="I92" s="452">
        <f t="shared" si="33"/>
        <v>49.629999999999995</v>
      </c>
      <c r="J92" s="177">
        <f t="shared" si="34"/>
        <v>1.35</v>
      </c>
      <c r="K92" s="177">
        <f t="shared" si="35"/>
        <v>0.25280898876404501</v>
      </c>
      <c r="L92" s="177">
        <f t="shared" si="36"/>
        <v>0.77142857142857146</v>
      </c>
      <c r="M92" s="452">
        <f t="shared" si="43"/>
        <v>350</v>
      </c>
      <c r="N92" s="202">
        <f t="shared" si="37"/>
        <v>350</v>
      </c>
      <c r="O92" s="222">
        <f t="shared" si="38"/>
        <v>3.7658674188998589</v>
      </c>
      <c r="P92" s="178">
        <f t="shared" si="39"/>
        <v>2.1519242393713478</v>
      </c>
      <c r="Q92" s="178">
        <f t="shared" si="40"/>
        <v>1.4181757416731484</v>
      </c>
      <c r="R92" s="178">
        <f t="shared" si="41"/>
        <v>0.46857142857142853</v>
      </c>
    </row>
    <row r="93" spans="3:18" x14ac:dyDescent="0.2">
      <c r="C93" s="175">
        <v>87</v>
      </c>
      <c r="D93" s="6">
        <f t="shared" si="42"/>
        <v>37.71</v>
      </c>
      <c r="E93" s="452">
        <f t="shared" si="29"/>
        <v>12.25</v>
      </c>
      <c r="F93" s="222">
        <f t="shared" si="30"/>
        <v>0.24519615692554042</v>
      </c>
      <c r="G93" s="177">
        <f t="shared" si="31"/>
        <v>18.007260933746995</v>
      </c>
      <c r="H93" s="222">
        <f t="shared" si="32"/>
        <v>1.5006050778122495</v>
      </c>
      <c r="I93" s="452">
        <f t="shared" si="33"/>
        <v>49.96</v>
      </c>
      <c r="J93" s="177">
        <f t="shared" si="34"/>
        <v>1.35</v>
      </c>
      <c r="K93" s="177">
        <f t="shared" si="35"/>
        <v>0.25059665871121722</v>
      </c>
      <c r="L93" s="177">
        <f t="shared" si="36"/>
        <v>0.77142857142857146</v>
      </c>
      <c r="M93" s="452">
        <f t="shared" si="43"/>
        <v>350</v>
      </c>
      <c r="N93" s="202">
        <f t="shared" si="37"/>
        <v>350</v>
      </c>
      <c r="O93" s="222">
        <f t="shared" si="38"/>
        <v>3.7740192153722978</v>
      </c>
      <c r="P93" s="178">
        <f t="shared" si="39"/>
        <v>2.1565824087841698</v>
      </c>
      <c r="Q93" s="178">
        <f t="shared" si="40"/>
        <v>1.4243221037999332</v>
      </c>
      <c r="R93" s="178">
        <f t="shared" si="41"/>
        <v>0.46857142857142853</v>
      </c>
    </row>
    <row r="94" spans="3:18" x14ac:dyDescent="0.2">
      <c r="C94" s="175">
        <v>88</v>
      </c>
      <c r="D94" s="6">
        <f t="shared" si="42"/>
        <v>38.04</v>
      </c>
      <c r="E94" s="452">
        <f t="shared" si="29"/>
        <v>12.25</v>
      </c>
      <c r="F94" s="222">
        <f t="shared" si="30"/>
        <v>0.24358719427321535</v>
      </c>
      <c r="G94" s="177">
        <f t="shared" si="31"/>
        <v>18.045645754623184</v>
      </c>
      <c r="H94" s="222">
        <f t="shared" si="32"/>
        <v>1.5038038128852653</v>
      </c>
      <c r="I94" s="452">
        <f t="shared" si="33"/>
        <v>50.29</v>
      </c>
      <c r="J94" s="177">
        <f t="shared" si="34"/>
        <v>1.35</v>
      </c>
      <c r="K94" s="177">
        <f t="shared" si="35"/>
        <v>0.24842271293375398</v>
      </c>
      <c r="L94" s="177">
        <f t="shared" si="36"/>
        <v>0.77142857142857146</v>
      </c>
      <c r="M94" s="452">
        <f t="shared" si="43"/>
        <v>350</v>
      </c>
      <c r="N94" s="202">
        <f t="shared" si="37"/>
        <v>350</v>
      </c>
      <c r="O94" s="222">
        <f t="shared" si="38"/>
        <v>3.7820640286339233</v>
      </c>
      <c r="P94" s="178">
        <f t="shared" si="39"/>
        <v>2.1611794449336701</v>
      </c>
      <c r="Q94" s="178">
        <f t="shared" si="40"/>
        <v>1.4304008316686661</v>
      </c>
      <c r="R94" s="178">
        <f t="shared" si="41"/>
        <v>0.46857142857142853</v>
      </c>
    </row>
    <row r="95" spans="3:18" x14ac:dyDescent="0.2">
      <c r="C95" s="175">
        <v>89</v>
      </c>
      <c r="D95" s="6">
        <f t="shared" si="42"/>
        <v>38.370000000000005</v>
      </c>
      <c r="E95" s="452">
        <f t="shared" si="29"/>
        <v>12.25</v>
      </c>
      <c r="F95" s="222">
        <f t="shared" si="30"/>
        <v>0.24199920979849859</v>
      </c>
      <c r="G95" s="177">
        <f t="shared" si="31"/>
        <v>18.08353010173844</v>
      </c>
      <c r="H95" s="222">
        <f t="shared" si="32"/>
        <v>1.5069608418115366</v>
      </c>
      <c r="I95" s="452">
        <f t="shared" si="33"/>
        <v>50.620000000000005</v>
      </c>
      <c r="J95" s="177">
        <f t="shared" si="34"/>
        <v>1.35</v>
      </c>
      <c r="K95" s="177">
        <f t="shared" si="35"/>
        <v>0.24628616106333071</v>
      </c>
      <c r="L95" s="177">
        <f t="shared" si="36"/>
        <v>0.77142857142857146</v>
      </c>
      <c r="M95" s="452">
        <f t="shared" si="43"/>
        <v>350</v>
      </c>
      <c r="N95" s="202">
        <f t="shared" si="37"/>
        <v>350</v>
      </c>
      <c r="O95" s="222">
        <f t="shared" si="38"/>
        <v>3.7900039510075065</v>
      </c>
      <c r="P95" s="178">
        <f t="shared" si="39"/>
        <v>2.1657165434328607</v>
      </c>
      <c r="Q95" s="178">
        <f t="shared" si="40"/>
        <v>1.4364129948652511</v>
      </c>
      <c r="R95" s="178">
        <f t="shared" si="41"/>
        <v>0.46857142857142853</v>
      </c>
    </row>
    <row r="96" spans="3:18" x14ac:dyDescent="0.2">
      <c r="C96" s="175">
        <v>90</v>
      </c>
      <c r="D96" s="6">
        <f t="shared" si="42"/>
        <v>38.700000000000003</v>
      </c>
      <c r="E96" s="452">
        <f t="shared" si="29"/>
        <v>12.25</v>
      </c>
      <c r="F96" s="222">
        <f t="shared" si="30"/>
        <v>0.24043179587831207</v>
      </c>
      <c r="G96" s="177">
        <f t="shared" si="31"/>
        <v>18.120923699705592</v>
      </c>
      <c r="H96" s="222">
        <f t="shared" si="32"/>
        <v>1.5100769749754661</v>
      </c>
      <c r="I96" s="452">
        <f t="shared" si="33"/>
        <v>50.95</v>
      </c>
      <c r="J96" s="177">
        <f t="shared" si="34"/>
        <v>1.35</v>
      </c>
      <c r="K96" s="177">
        <f t="shared" si="35"/>
        <v>0.24418604651162792</v>
      </c>
      <c r="L96" s="177">
        <f t="shared" si="36"/>
        <v>0.77142857142857146</v>
      </c>
      <c r="M96" s="452">
        <f t="shared" si="43"/>
        <v>350</v>
      </c>
      <c r="N96" s="202">
        <f t="shared" si="37"/>
        <v>350</v>
      </c>
      <c r="O96" s="222">
        <f t="shared" si="38"/>
        <v>3.7978410206084399</v>
      </c>
      <c r="P96" s="178">
        <f t="shared" si="39"/>
        <v>2.1701948689191082</v>
      </c>
      <c r="Q96" s="178">
        <f t="shared" si="40"/>
        <v>1.4423596417816154</v>
      </c>
      <c r="R96" s="178">
        <f t="shared" si="41"/>
        <v>0.46857142857142853</v>
      </c>
    </row>
    <row r="97" spans="3:18" x14ac:dyDescent="0.2">
      <c r="C97" s="175">
        <v>91</v>
      </c>
      <c r="D97" s="6">
        <f t="shared" si="42"/>
        <v>39.03</v>
      </c>
      <c r="E97" s="452">
        <f t="shared" si="29"/>
        <v>12.25</v>
      </c>
      <c r="F97" s="222">
        <f t="shared" si="30"/>
        <v>0.23888455538221529</v>
      </c>
      <c r="G97" s="177">
        <f t="shared" si="31"/>
        <v>18.157836022815911</v>
      </c>
      <c r="H97" s="222">
        <f t="shared" si="32"/>
        <v>1.513153001901326</v>
      </c>
      <c r="I97" s="452">
        <f t="shared" si="33"/>
        <v>51.28</v>
      </c>
      <c r="J97" s="177">
        <f t="shared" si="34"/>
        <v>1.35</v>
      </c>
      <c r="K97" s="177">
        <f t="shared" si="35"/>
        <v>0.2421214450422752</v>
      </c>
      <c r="L97" s="177">
        <f t="shared" si="36"/>
        <v>0.77142857142857146</v>
      </c>
      <c r="M97" s="452">
        <f t="shared" si="43"/>
        <v>350</v>
      </c>
      <c r="N97" s="202">
        <f t="shared" si="37"/>
        <v>350</v>
      </c>
      <c r="O97" s="222">
        <f t="shared" si="38"/>
        <v>3.8055772230889238</v>
      </c>
      <c r="P97" s="178">
        <f t="shared" si="39"/>
        <v>2.1746155560508136</v>
      </c>
      <c r="Q97" s="178">
        <f t="shared" si="40"/>
        <v>1.4482418000893207</v>
      </c>
      <c r="R97" s="178">
        <f t="shared" si="41"/>
        <v>0.46857142857142853</v>
      </c>
    </row>
    <row r="98" spans="3:18" x14ac:dyDescent="0.2">
      <c r="C98" s="175">
        <v>92</v>
      </c>
      <c r="D98" s="6">
        <f t="shared" si="42"/>
        <v>39.36</v>
      </c>
      <c r="E98" s="452">
        <f t="shared" si="29"/>
        <v>12.25</v>
      </c>
      <c r="F98" s="222">
        <f t="shared" si="30"/>
        <v>0.2373571013369502</v>
      </c>
      <c r="G98" s="177">
        <f t="shared" si="31"/>
        <v>18.194276303042045</v>
      </c>
      <c r="H98" s="222">
        <f t="shared" si="32"/>
        <v>1.5161896919201705</v>
      </c>
      <c r="I98" s="452">
        <f t="shared" si="33"/>
        <v>51.61</v>
      </c>
      <c r="J98" s="177">
        <f t="shared" si="34"/>
        <v>1.35</v>
      </c>
      <c r="K98" s="177">
        <f t="shared" si="35"/>
        <v>0.24009146341463417</v>
      </c>
      <c r="L98" s="177">
        <f t="shared" si="36"/>
        <v>0.77142857142857146</v>
      </c>
      <c r="M98" s="452">
        <f t="shared" si="43"/>
        <v>350</v>
      </c>
      <c r="N98" s="202">
        <f t="shared" si="37"/>
        <v>350</v>
      </c>
      <c r="O98" s="222">
        <f t="shared" si="38"/>
        <v>3.8132144933152485</v>
      </c>
      <c r="P98" s="178">
        <f t="shared" si="39"/>
        <v>2.1789797104658564</v>
      </c>
      <c r="Q98" s="178">
        <f t="shared" si="40"/>
        <v>1.4540604772029468</v>
      </c>
      <c r="R98" s="178">
        <f t="shared" si="41"/>
        <v>0.46857142857142853</v>
      </c>
    </row>
    <row r="99" spans="3:18" x14ac:dyDescent="0.2">
      <c r="C99" s="175">
        <v>93</v>
      </c>
      <c r="D99" s="6">
        <f t="shared" si="42"/>
        <v>39.69</v>
      </c>
      <c r="E99" s="452">
        <f t="shared" si="29"/>
        <v>12.25</v>
      </c>
      <c r="F99" s="222">
        <f t="shared" si="30"/>
        <v>0.23584905660377359</v>
      </c>
      <c r="G99" s="177">
        <f t="shared" si="31"/>
        <v>18.230253537735845</v>
      </c>
      <c r="H99" s="222">
        <f t="shared" si="32"/>
        <v>1.5191877948113204</v>
      </c>
      <c r="I99" s="452">
        <f t="shared" si="33"/>
        <v>51.94</v>
      </c>
      <c r="J99" s="177">
        <f t="shared" si="34"/>
        <v>1.35</v>
      </c>
      <c r="K99" s="177">
        <f t="shared" si="35"/>
        <v>0.23809523809523814</v>
      </c>
      <c r="L99" s="177">
        <f t="shared" si="36"/>
        <v>0.77142857142857146</v>
      </c>
      <c r="M99" s="452">
        <f t="shared" si="43"/>
        <v>350</v>
      </c>
      <c r="N99" s="202">
        <f t="shared" si="37"/>
        <v>350</v>
      </c>
      <c r="O99" s="222">
        <f t="shared" si="38"/>
        <v>3.8207547169811318</v>
      </c>
      <c r="P99" s="178">
        <f t="shared" si="39"/>
        <v>2.1832884097035037</v>
      </c>
      <c r="Q99" s="178">
        <f t="shared" si="40"/>
        <v>1.4598166607333567</v>
      </c>
      <c r="R99" s="178">
        <f t="shared" si="41"/>
        <v>0.46857142857142853</v>
      </c>
    </row>
    <row r="100" spans="3:18" x14ac:dyDescent="0.2">
      <c r="C100" s="175">
        <v>94</v>
      </c>
      <c r="D100" s="6">
        <f t="shared" si="42"/>
        <v>40.019999999999996</v>
      </c>
      <c r="E100" s="452">
        <f t="shared" si="29"/>
        <v>12.25</v>
      </c>
      <c r="F100" s="222">
        <f t="shared" si="30"/>
        <v>0.23436005356801226</v>
      </c>
      <c r="G100" s="177">
        <f t="shared" si="31"/>
        <v>18.265776497034626</v>
      </c>
      <c r="H100" s="222">
        <f t="shared" si="32"/>
        <v>1.5221480414195521</v>
      </c>
      <c r="I100" s="452">
        <f t="shared" si="33"/>
        <v>52.269999999999996</v>
      </c>
      <c r="J100" s="177">
        <f t="shared" si="34"/>
        <v>1.35</v>
      </c>
      <c r="K100" s="177">
        <f t="shared" si="35"/>
        <v>0.23613193403298355</v>
      </c>
      <c r="L100" s="177">
        <f t="shared" si="36"/>
        <v>0.77142857142857146</v>
      </c>
      <c r="M100" s="452">
        <f t="shared" si="43"/>
        <v>350</v>
      </c>
      <c r="N100" s="202">
        <f t="shared" si="37"/>
        <v>350</v>
      </c>
      <c r="O100" s="222">
        <f t="shared" si="38"/>
        <v>3.8281997321599386</v>
      </c>
      <c r="P100" s="178">
        <f t="shared" si="39"/>
        <v>2.1875427040913933</v>
      </c>
      <c r="Q100" s="178">
        <f t="shared" si="40"/>
        <v>1.4655113189309423</v>
      </c>
      <c r="R100" s="178">
        <f t="shared" si="41"/>
        <v>0.46857142857142853</v>
      </c>
    </row>
    <row r="101" spans="3:18" x14ac:dyDescent="0.2">
      <c r="C101" s="175">
        <v>95</v>
      </c>
      <c r="D101" s="6">
        <f t="shared" si="42"/>
        <v>40.349999999999994</v>
      </c>
      <c r="E101" s="452">
        <f t="shared" si="29"/>
        <v>12.25</v>
      </c>
      <c r="F101" s="222">
        <f t="shared" si="30"/>
        <v>0.2328897338403042</v>
      </c>
      <c r="G101" s="177">
        <f t="shared" si="31"/>
        <v>18.300853730988589</v>
      </c>
      <c r="H101" s="222">
        <f t="shared" si="32"/>
        <v>1.525071144249049</v>
      </c>
      <c r="I101" s="452">
        <f t="shared" si="33"/>
        <v>52.599999999999994</v>
      </c>
      <c r="J101" s="177">
        <f t="shared" si="34"/>
        <v>1.35</v>
      </c>
      <c r="K101" s="177">
        <f t="shared" si="35"/>
        <v>0.23420074349442385</v>
      </c>
      <c r="L101" s="177">
        <f t="shared" si="36"/>
        <v>0.77142857142857146</v>
      </c>
      <c r="M101" s="452">
        <f t="shared" si="43"/>
        <v>350</v>
      </c>
      <c r="N101" s="202">
        <f t="shared" si="37"/>
        <v>350</v>
      </c>
      <c r="O101" s="222">
        <f t="shared" si="38"/>
        <v>3.835551330798479</v>
      </c>
      <c r="P101" s="178">
        <f t="shared" si="39"/>
        <v>2.1917436175991307</v>
      </c>
      <c r="Q101" s="178">
        <f t="shared" si="40"/>
        <v>1.4711454011189979</v>
      </c>
      <c r="R101" s="178">
        <f t="shared" si="41"/>
        <v>0.46857142857142853</v>
      </c>
    </row>
    <row r="102" spans="3:18" x14ac:dyDescent="0.2">
      <c r="C102" s="175">
        <v>96</v>
      </c>
      <c r="D102" s="6">
        <f t="shared" si="42"/>
        <v>40.68</v>
      </c>
      <c r="E102" s="452">
        <f t="shared" si="29"/>
        <v>12.25</v>
      </c>
      <c r="F102" s="222">
        <f t="shared" si="30"/>
        <v>0.23143774796901567</v>
      </c>
      <c r="G102" s="177">
        <f t="shared" ref="G102:G106" si="44">F102*D102*Isw_max*0.5*Efficiency</f>
        <v>18.335493576421687</v>
      </c>
      <c r="H102" s="222">
        <f t="shared" ref="H102:H106" si="45">G102/Vout</f>
        <v>1.5279577980351406</v>
      </c>
      <c r="I102" s="452">
        <f t="shared" si="33"/>
        <v>52.93</v>
      </c>
      <c r="J102" s="177">
        <f t="shared" si="34"/>
        <v>1.35</v>
      </c>
      <c r="K102" s="177">
        <f t="shared" ref="K102:K106" si="46">L*J102/D102*1000000</f>
        <v>0.23230088495575224</v>
      </c>
      <c r="L102" s="177">
        <f t="shared" si="36"/>
        <v>0.77142857142857146</v>
      </c>
      <c r="M102" s="452">
        <f t="shared" si="43"/>
        <v>350</v>
      </c>
      <c r="N102" s="202">
        <f t="shared" si="37"/>
        <v>350</v>
      </c>
      <c r="O102" s="222">
        <f t="shared" ref="O102:O106" si="47">1/((N102*1000*L)*(1/D102+1/E102))</f>
        <v>3.8428112601549209</v>
      </c>
      <c r="P102" s="178">
        <f t="shared" ref="P102:P106" si="48">L*O102/E102*1000000</f>
        <v>2.1958921486599547</v>
      </c>
      <c r="Q102" s="178">
        <f t="shared" ref="Q102:Q106" si="49">0.5*P102*O102*Nps*N102/1000</f>
        <v>1.4767198381173452</v>
      </c>
      <c r="R102" s="178">
        <f t="shared" si="41"/>
        <v>0.46857142857142853</v>
      </c>
    </row>
    <row r="103" spans="3:18" x14ac:dyDescent="0.2">
      <c r="C103" s="175">
        <v>97</v>
      </c>
      <c r="D103" s="6">
        <f t="shared" ref="D103:D106" si="50">C103/100*(VIN_max-VIN_min)+VIN_min</f>
        <v>41.01</v>
      </c>
      <c r="E103" s="452">
        <f t="shared" si="29"/>
        <v>12.25</v>
      </c>
      <c r="F103" s="222">
        <f t="shared" si="30"/>
        <v>0.23000375516334962</v>
      </c>
      <c r="G103" s="177">
        <f t="shared" si="44"/>
        <v>18.36970416353736</v>
      </c>
      <c r="H103" s="222">
        <f t="shared" si="45"/>
        <v>1.53080868029478</v>
      </c>
      <c r="I103" s="452">
        <f t="shared" si="33"/>
        <v>53.26</v>
      </c>
      <c r="J103" s="177">
        <f t="shared" si="34"/>
        <v>1.35</v>
      </c>
      <c r="K103" s="177">
        <f t="shared" si="46"/>
        <v>0.23043160204828095</v>
      </c>
      <c r="L103" s="177">
        <f t="shared" si="36"/>
        <v>0.77142857142857146</v>
      </c>
      <c r="M103" s="452">
        <f t="shared" si="43"/>
        <v>350</v>
      </c>
      <c r="N103" s="202">
        <f t="shared" si="37"/>
        <v>350</v>
      </c>
      <c r="O103" s="222">
        <f t="shared" si="47"/>
        <v>3.8499812241832525</v>
      </c>
      <c r="P103" s="178">
        <f t="shared" si="48"/>
        <v>2.1999892709618583</v>
      </c>
      <c r="Q103" s="178">
        <f t="shared" si="49"/>
        <v>1.4822355426563574</v>
      </c>
      <c r="R103" s="178">
        <f t="shared" si="41"/>
        <v>0.46857142857142853</v>
      </c>
    </row>
    <row r="104" spans="3:18" x14ac:dyDescent="0.2">
      <c r="C104" s="175">
        <v>98</v>
      </c>
      <c r="D104" s="6">
        <f t="shared" si="50"/>
        <v>41.339999999999996</v>
      </c>
      <c r="E104" s="452">
        <f t="shared" si="29"/>
        <v>12.25</v>
      </c>
      <c r="F104" s="222">
        <f t="shared" si="30"/>
        <v>0.22858742302668411</v>
      </c>
      <c r="G104" s="177">
        <f t="shared" si="44"/>
        <v>18.403493422280274</v>
      </c>
      <c r="H104" s="222">
        <f t="shared" si="45"/>
        <v>1.5336244518566895</v>
      </c>
      <c r="I104" s="452">
        <f t="shared" si="33"/>
        <v>53.589999999999996</v>
      </c>
      <c r="J104" s="177">
        <f t="shared" si="34"/>
        <v>1.35</v>
      </c>
      <c r="K104" s="177">
        <f t="shared" si="46"/>
        <v>0.22859216255442677</v>
      </c>
      <c r="L104" s="177">
        <f t="shared" si="36"/>
        <v>0.77142857142857146</v>
      </c>
      <c r="M104" s="452">
        <f t="shared" si="43"/>
        <v>350</v>
      </c>
      <c r="N104" s="202">
        <f t="shared" si="37"/>
        <v>350</v>
      </c>
      <c r="O104" s="222">
        <f t="shared" si="47"/>
        <v>3.8570628848665791</v>
      </c>
      <c r="P104" s="178">
        <f t="shared" si="48"/>
        <v>2.204035934209474</v>
      </c>
      <c r="Q104" s="178">
        <f t="shared" si="49"/>
        <v>1.48769340978153</v>
      </c>
      <c r="R104" s="178">
        <f t="shared" si="41"/>
        <v>0.46857142857142853</v>
      </c>
    </row>
    <row r="105" spans="3:18" x14ac:dyDescent="0.2">
      <c r="C105" s="175">
        <v>99</v>
      </c>
      <c r="D105" s="6">
        <f t="shared" si="50"/>
        <v>41.67</v>
      </c>
      <c r="E105" s="452">
        <f t="shared" si="29"/>
        <v>12.25</v>
      </c>
      <c r="F105" s="222">
        <f t="shared" si="30"/>
        <v>0.22718842729970326</v>
      </c>
      <c r="G105" s="177">
        <f t="shared" si="44"/>
        <v>18.436869088464391</v>
      </c>
      <c r="H105" s="222">
        <f t="shared" si="45"/>
        <v>1.5364057573720327</v>
      </c>
      <c r="I105" s="452">
        <f t="shared" si="33"/>
        <v>53.92</v>
      </c>
      <c r="J105" s="177">
        <f t="shared" si="34"/>
        <v>1.35</v>
      </c>
      <c r="K105" s="177">
        <f t="shared" si="46"/>
        <v>0.22678185745140392</v>
      </c>
      <c r="L105" s="177">
        <f t="shared" si="36"/>
        <v>0.77142857142857146</v>
      </c>
      <c r="M105" s="452">
        <f t="shared" si="43"/>
        <v>350</v>
      </c>
      <c r="N105" s="202">
        <f t="shared" si="37"/>
        <v>350</v>
      </c>
      <c r="O105" s="222">
        <f t="shared" si="47"/>
        <v>3.8640578635014835</v>
      </c>
      <c r="P105" s="178">
        <f t="shared" si="48"/>
        <v>2.2080330648579904</v>
      </c>
      <c r="Q105" s="178">
        <f t="shared" si="49"/>
        <v>1.493094317248765</v>
      </c>
      <c r="R105" s="178">
        <f t="shared" si="41"/>
        <v>0.46857142857142853</v>
      </c>
    </row>
    <row r="106" spans="3:18" x14ac:dyDescent="0.2">
      <c r="C106" s="175">
        <v>100</v>
      </c>
      <c r="D106" s="6">
        <f t="shared" si="50"/>
        <v>42</v>
      </c>
      <c r="E106" s="452">
        <f t="shared" si="29"/>
        <v>12.25</v>
      </c>
      <c r="F106" s="222">
        <f t="shared" si="30"/>
        <v>0.22580645161290322</v>
      </c>
      <c r="G106" s="177">
        <f t="shared" si="44"/>
        <v>18.469838709677418</v>
      </c>
      <c r="H106" s="222">
        <f t="shared" si="45"/>
        <v>1.5391532258064515</v>
      </c>
      <c r="I106" s="452">
        <f t="shared" si="33"/>
        <v>54.25</v>
      </c>
      <c r="J106" s="177">
        <f t="shared" si="34"/>
        <v>1.35</v>
      </c>
      <c r="K106" s="177">
        <f t="shared" si="46"/>
        <v>0.22500000000000001</v>
      </c>
      <c r="L106" s="177">
        <f t="shared" si="36"/>
        <v>0.77142857142857146</v>
      </c>
      <c r="M106" s="452">
        <f t="shared" si="43"/>
        <v>350</v>
      </c>
      <c r="N106" s="202">
        <f t="shared" si="37"/>
        <v>350</v>
      </c>
      <c r="O106" s="222">
        <f t="shared" si="47"/>
        <v>3.8709677419354835</v>
      </c>
      <c r="P106" s="178">
        <f t="shared" si="48"/>
        <v>2.2119815668202762</v>
      </c>
      <c r="Q106" s="178">
        <f t="shared" si="49"/>
        <v>1.4984391259105099</v>
      </c>
      <c r="R106" s="178">
        <f t="shared" si="41"/>
        <v>0.46857142857142853</v>
      </c>
    </row>
  </sheetData>
  <mergeCells count="1">
    <mergeCell ref="F4:O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CC133"/>
  <sheetViews>
    <sheetView showWhiteSpace="0" zoomScaleNormal="100" workbookViewId="0">
      <pane ySplit="5" topLeftCell="A9" activePane="bottomLeft" state="frozen"/>
      <selection pane="bottomLeft" activeCell="B26" sqref="B26"/>
    </sheetView>
  </sheetViews>
  <sheetFormatPr defaultColWidth="9.140625" defaultRowHeight="12.75" x14ac:dyDescent="0.2"/>
  <cols>
    <col min="1" max="1" width="15.7109375" style="175" customWidth="1"/>
    <col min="2" max="2" width="11.5703125" style="175" customWidth="1"/>
    <col min="3" max="3" width="9.140625" style="175"/>
    <col min="4" max="4" width="12.42578125" style="175" bestFit="1" customWidth="1"/>
    <col min="5" max="5" width="51.42578125" style="175" customWidth="1"/>
    <col min="6" max="6" width="13.42578125" style="175" customWidth="1"/>
    <col min="7" max="7" width="10" style="175" customWidth="1"/>
    <col min="8" max="8" width="6.85546875" style="175" customWidth="1"/>
    <col min="9" max="9" width="12.42578125" style="175" bestFit="1" customWidth="1"/>
    <col min="10" max="10" width="9.140625" style="221" customWidth="1"/>
    <col min="11" max="11" width="8.85546875"/>
    <col min="13" max="13" width="10.85546875" customWidth="1"/>
    <col min="14" max="14" width="12" style="175" customWidth="1"/>
    <col min="15" max="15" width="12.7109375" style="221" customWidth="1"/>
    <col min="16" max="16" width="11.42578125" style="221" customWidth="1"/>
    <col min="17" max="17" width="12.42578125" style="221" customWidth="1"/>
    <col min="18" max="19" width="10.5703125" style="202" customWidth="1"/>
    <col min="20" max="20" width="10" style="202" customWidth="1"/>
    <col min="21" max="21" width="10.5703125" style="202" customWidth="1"/>
    <col min="22" max="22" width="8.42578125" style="221" customWidth="1"/>
    <col min="23" max="23" width="9.28515625" style="221" customWidth="1"/>
    <col min="24" max="24" width="9.42578125" style="175" customWidth="1"/>
    <col min="25" max="25" width="9.42578125" style="221" customWidth="1"/>
    <col min="26" max="26" width="8.28515625" style="222" customWidth="1"/>
    <col min="27" max="27" width="9.5703125" style="221" customWidth="1"/>
    <col min="28" max="28" width="9.42578125" style="221" bestFit="1" customWidth="1"/>
    <col min="29" max="29" width="8.5703125" style="221" customWidth="1"/>
    <col min="30" max="30" width="9.7109375" style="223" customWidth="1"/>
    <col min="31" max="31" width="9.140625" style="223" customWidth="1"/>
    <col min="32" max="32" width="8.140625" style="221" customWidth="1"/>
    <col min="33" max="33" width="10.28515625" style="221" customWidth="1"/>
    <col min="34" max="34" width="9.42578125" style="221" customWidth="1"/>
    <col min="35" max="35" width="8.85546875"/>
    <col min="36" max="36" width="9.7109375" style="221" customWidth="1"/>
    <col min="37" max="37" width="11.5703125" style="221" customWidth="1"/>
    <col min="38" max="38" width="10.140625" style="221" customWidth="1"/>
    <col min="39" max="39" width="11.140625" style="221" customWidth="1"/>
    <col min="40" max="40" width="9.140625" style="221"/>
    <col min="41" max="41" width="10.28515625" style="221" customWidth="1"/>
    <col min="42" max="42" width="9.85546875" style="221" customWidth="1"/>
    <col min="43" max="43" width="9.7109375" style="221" customWidth="1"/>
    <col min="44" max="44" width="10.28515625" style="221" customWidth="1"/>
    <col min="45" max="45" width="10.140625" style="221" customWidth="1"/>
    <col min="46" max="46" width="10.42578125" style="221" customWidth="1"/>
    <col min="47" max="47" width="11.28515625" style="221" customWidth="1"/>
    <col min="48" max="48" width="11.7109375" style="221" customWidth="1"/>
    <col min="49" max="49" width="10.42578125" style="221" customWidth="1"/>
    <col min="50" max="50" width="11.42578125" style="221" customWidth="1"/>
    <col min="51" max="51" width="10.140625" style="221" customWidth="1"/>
    <col min="52" max="52" width="10" style="177" bestFit="1" customWidth="1"/>
    <col min="53" max="55" width="12.7109375" style="350" customWidth="1"/>
    <col min="56" max="56" width="14" style="350" customWidth="1"/>
    <col min="57" max="57" width="12.85546875" style="350" customWidth="1"/>
    <col min="58" max="58" width="10.42578125" style="350" customWidth="1"/>
    <col min="59" max="59" width="9" style="350" customWidth="1"/>
    <col min="60" max="60" width="8.85546875" style="350" customWidth="1"/>
    <col min="61" max="61" width="10.85546875" style="350" customWidth="1"/>
    <col min="62" max="62" width="11.140625" style="350" customWidth="1"/>
    <col min="63" max="64" width="9.140625" style="350"/>
    <col min="65" max="65" width="8.85546875" style="177" customWidth="1"/>
    <col min="66" max="66" width="9.140625" style="222"/>
    <col min="67" max="67" width="12.5703125" style="175" customWidth="1"/>
    <col min="68" max="68" width="13.5703125" style="177" customWidth="1"/>
    <col min="69" max="69" width="12.7109375" style="202" customWidth="1"/>
    <col min="70" max="70" width="3.7109375" style="175" customWidth="1"/>
    <col min="71" max="71" width="12.42578125" style="175" bestFit="1" customWidth="1"/>
    <col min="72" max="72" width="3.5703125" style="175" customWidth="1"/>
    <col min="73" max="73" width="9.140625" style="177"/>
    <col min="74" max="74" width="11.140625" style="177" customWidth="1"/>
    <col min="75" max="75" width="9.140625" style="177"/>
    <col min="76" max="76" width="4.7109375" style="175" customWidth="1"/>
    <col min="77" max="77" width="3.7109375" style="175" customWidth="1"/>
    <col min="78" max="78" width="12.42578125" style="175" customWidth="1"/>
    <col min="79" max="79" width="11.85546875" style="175" customWidth="1"/>
    <col min="80" max="80" width="11.5703125" style="175" customWidth="1"/>
    <col min="81" max="81" width="11.7109375" style="175" customWidth="1"/>
    <col min="82" max="82" width="9.140625" style="175"/>
    <col min="83" max="83" width="9.140625" style="175" customWidth="1"/>
    <col min="84" max="16384" width="9.140625" style="175"/>
  </cols>
  <sheetData>
    <row r="1" spans="1:81" x14ac:dyDescent="0.2">
      <c r="A1" s="695" t="s">
        <v>688</v>
      </c>
      <c r="B1" s="695"/>
      <c r="C1" s="695"/>
      <c r="D1" s="695"/>
      <c r="E1" s="695"/>
    </row>
    <row r="2" spans="1:81" ht="15.75" x14ac:dyDescent="0.2">
      <c r="A2" s="695"/>
      <c r="B2" s="695"/>
      <c r="C2" s="695"/>
      <c r="D2" s="695"/>
      <c r="E2" s="695"/>
      <c r="G2" s="696" t="s">
        <v>22</v>
      </c>
      <c r="H2" s="696"/>
      <c r="AF2" s="221">
        <v>1.9257738538542499E-2</v>
      </c>
      <c r="AG2" s="221">
        <v>7.417209872377299E-4</v>
      </c>
      <c r="AH2" s="221">
        <v>1.2403450565440797E-3</v>
      </c>
      <c r="AI2">
        <v>20</v>
      </c>
      <c r="AJ2" s="221">
        <v>7.1523178807947021</v>
      </c>
      <c r="AK2" s="221">
        <v>0</v>
      </c>
      <c r="AL2" s="221">
        <v>8.3629954314142624E-4</v>
      </c>
      <c r="AM2" s="221">
        <v>1.5780205303791562E-3</v>
      </c>
      <c r="AO2" s="273" t="e">
        <f>Ifb</f>
        <v>#NAME?</v>
      </c>
    </row>
    <row r="3" spans="1:81" ht="13.5" thickBot="1" x14ac:dyDescent="0.25">
      <c r="A3" s="695"/>
      <c r="B3" s="695"/>
      <c r="C3" s="695"/>
      <c r="D3" s="695"/>
      <c r="E3" s="695"/>
    </row>
    <row r="4" spans="1:81" ht="13.5" thickBot="1" x14ac:dyDescent="0.25">
      <c r="A4" s="697"/>
      <c r="B4" s="697"/>
      <c r="C4" s="697"/>
      <c r="D4" s="697"/>
      <c r="E4" s="697"/>
      <c r="H4" s="225" t="s">
        <v>23</v>
      </c>
      <c r="I4" s="226"/>
      <c r="J4" s="227"/>
      <c r="K4" s="698" t="s">
        <v>190</v>
      </c>
      <c r="L4" s="691"/>
      <c r="M4" s="692"/>
      <c r="N4" s="692"/>
      <c r="O4" s="692"/>
      <c r="P4" s="691"/>
      <c r="Q4" s="691"/>
      <c r="R4" s="692"/>
      <c r="S4" s="692"/>
      <c r="T4" s="692"/>
      <c r="U4" s="694"/>
      <c r="V4" s="228" t="s">
        <v>191</v>
      </c>
      <c r="W4" s="229"/>
      <c r="X4" s="230"/>
      <c r="Y4" s="231"/>
      <c r="Z4" s="232" t="s">
        <v>14</v>
      </c>
      <c r="AA4" s="233"/>
      <c r="AB4" s="227"/>
      <c r="AC4" s="234" t="s">
        <v>28</v>
      </c>
      <c r="AD4" s="235"/>
      <c r="AE4" s="236"/>
      <c r="AF4" s="228" t="s">
        <v>192</v>
      </c>
      <c r="AG4" s="229"/>
      <c r="AH4" s="229"/>
      <c r="AI4" s="451"/>
      <c r="AJ4" s="451"/>
      <c r="AK4" s="229"/>
      <c r="AL4" s="229"/>
      <c r="AM4" s="227"/>
      <c r="AN4" s="237" t="s">
        <v>193</v>
      </c>
      <c r="AO4" s="238"/>
      <c r="AP4" s="238"/>
      <c r="AQ4" s="460" t="s">
        <v>194</v>
      </c>
      <c r="AR4" s="461"/>
      <c r="AS4" s="461"/>
      <c r="AT4" s="238"/>
      <c r="AU4" s="239"/>
      <c r="AV4" s="240"/>
      <c r="AW4" s="241"/>
      <c r="AX4" s="228" t="s">
        <v>180</v>
      </c>
      <c r="AY4" s="229"/>
      <c r="AZ4" s="230"/>
      <c r="BA4" s="351"/>
      <c r="BB4" s="351"/>
      <c r="BC4" s="351"/>
      <c r="BD4" s="351"/>
      <c r="BE4" s="351"/>
      <c r="BF4" s="351"/>
      <c r="BG4" s="351"/>
      <c r="BH4" s="351"/>
      <c r="BI4" s="351"/>
      <c r="BJ4" s="351"/>
      <c r="BK4" s="351"/>
      <c r="BL4" s="351"/>
      <c r="BM4" s="344"/>
      <c r="BN4" s="348"/>
      <c r="BO4" s="230"/>
      <c r="BP4" s="346"/>
      <c r="BQ4" s="457"/>
      <c r="BR4" s="458"/>
      <c r="BS4" s="458"/>
      <c r="BT4" s="458"/>
      <c r="BU4" s="458"/>
      <c r="BV4" s="458"/>
      <c r="BW4" s="458"/>
      <c r="BX4" s="458"/>
      <c r="BY4" s="458"/>
      <c r="BZ4" s="458"/>
      <c r="CA4" s="458"/>
      <c r="CB4" s="458"/>
      <c r="CC4" s="459"/>
    </row>
    <row r="5" spans="1:81" ht="78" customHeight="1" thickBot="1" x14ac:dyDescent="0.45">
      <c r="A5" s="242" t="s">
        <v>42</v>
      </c>
      <c r="B5" s="243"/>
      <c r="C5" s="243"/>
      <c r="D5" s="244"/>
      <c r="E5" s="245"/>
      <c r="F5" s="194"/>
      <c r="G5" s="194"/>
      <c r="H5" s="246" t="s">
        <v>25</v>
      </c>
      <c r="I5" s="247" t="s">
        <v>195</v>
      </c>
      <c r="J5" s="248" t="s">
        <v>196</v>
      </c>
      <c r="K5" s="256" t="s">
        <v>326</v>
      </c>
      <c r="L5" s="249" t="s">
        <v>48</v>
      </c>
      <c r="M5" s="249" t="s">
        <v>327</v>
      </c>
      <c r="N5" s="453" t="s">
        <v>197</v>
      </c>
      <c r="O5" s="540" t="s">
        <v>415</v>
      </c>
      <c r="P5" s="540" t="s">
        <v>416</v>
      </c>
      <c r="Q5" s="540" t="s">
        <v>417</v>
      </c>
      <c r="R5" s="250" t="s">
        <v>198</v>
      </c>
      <c r="S5" s="251" t="s">
        <v>199</v>
      </c>
      <c r="T5" s="251" t="s">
        <v>200</v>
      </c>
      <c r="U5" s="250" t="s">
        <v>331</v>
      </c>
      <c r="V5" s="252" t="s">
        <v>201</v>
      </c>
      <c r="W5" s="249" t="s">
        <v>202</v>
      </c>
      <c r="X5" s="247" t="s">
        <v>203</v>
      </c>
      <c r="Y5" s="248" t="s">
        <v>204</v>
      </c>
      <c r="Z5" s="253" t="s">
        <v>201</v>
      </c>
      <c r="AA5" s="249" t="s">
        <v>205</v>
      </c>
      <c r="AB5" s="248" t="s">
        <v>206</v>
      </c>
      <c r="AC5" s="252" t="s">
        <v>201</v>
      </c>
      <c r="AD5" s="254" t="s">
        <v>207</v>
      </c>
      <c r="AE5" s="255" t="s">
        <v>208</v>
      </c>
      <c r="AF5" s="252" t="s">
        <v>201</v>
      </c>
      <c r="AG5" s="249" t="s">
        <v>209</v>
      </c>
      <c r="AH5" s="249" t="s">
        <v>210</v>
      </c>
      <c r="AI5" s="249" t="s">
        <v>328</v>
      </c>
      <c r="AJ5" s="249" t="s">
        <v>325</v>
      </c>
      <c r="AK5" s="249" t="s">
        <v>211</v>
      </c>
      <c r="AL5" s="256" t="s">
        <v>212</v>
      </c>
      <c r="AM5" s="248" t="s">
        <v>213</v>
      </c>
      <c r="AN5" s="257" t="s">
        <v>201</v>
      </c>
      <c r="AO5" s="258" t="s">
        <v>214</v>
      </c>
      <c r="AP5" s="258" t="s">
        <v>215</v>
      </c>
      <c r="AQ5" s="258" t="s">
        <v>216</v>
      </c>
      <c r="AR5" s="258" t="s">
        <v>217</v>
      </c>
      <c r="AS5" s="259" t="s">
        <v>218</v>
      </c>
      <c r="AT5" s="257" t="s">
        <v>219</v>
      </c>
      <c r="AU5" s="257" t="s">
        <v>220</v>
      </c>
      <c r="AV5" s="257" t="s">
        <v>221</v>
      </c>
      <c r="AW5" s="260" t="s">
        <v>222</v>
      </c>
      <c r="AX5" s="252" t="s">
        <v>223</v>
      </c>
      <c r="AY5" s="249" t="s">
        <v>224</v>
      </c>
      <c r="AZ5" s="261" t="s">
        <v>225</v>
      </c>
      <c r="BA5" s="352" t="s">
        <v>226</v>
      </c>
      <c r="BB5" s="352" t="s">
        <v>227</v>
      </c>
      <c r="BC5" s="352" t="s">
        <v>228</v>
      </c>
      <c r="BD5" s="352" t="s">
        <v>229</v>
      </c>
      <c r="BE5" s="352" t="s">
        <v>230</v>
      </c>
      <c r="BF5" s="352" t="s">
        <v>231</v>
      </c>
      <c r="BG5" s="352" t="s">
        <v>232</v>
      </c>
      <c r="BH5" s="353" t="s">
        <v>233</v>
      </c>
      <c r="BI5" s="354" t="s">
        <v>234</v>
      </c>
      <c r="BJ5" s="355" t="s">
        <v>235</v>
      </c>
      <c r="BK5" s="356" t="s">
        <v>236</v>
      </c>
      <c r="BL5" s="355" t="s">
        <v>282</v>
      </c>
      <c r="BM5" s="345" t="s">
        <v>237</v>
      </c>
      <c r="BN5" s="349" t="s">
        <v>238</v>
      </c>
      <c r="BO5" s="262" t="s">
        <v>239</v>
      </c>
      <c r="BP5" s="347" t="s">
        <v>239</v>
      </c>
      <c r="BQ5" s="263" t="s">
        <v>240</v>
      </c>
      <c r="BR5" s="264"/>
      <c r="BS5" s="265" t="s">
        <v>241</v>
      </c>
      <c r="BT5" s="264"/>
      <c r="BU5" s="359" t="s">
        <v>284</v>
      </c>
      <c r="BV5" s="360" t="s">
        <v>285</v>
      </c>
      <c r="BW5" s="456" t="s">
        <v>283</v>
      </c>
      <c r="BX5" s="264"/>
      <c r="BY5" s="264"/>
      <c r="BZ5" s="455" t="s">
        <v>290</v>
      </c>
      <c r="CA5" s="260" t="s">
        <v>344</v>
      </c>
      <c r="CB5" s="360" t="s">
        <v>292</v>
      </c>
      <c r="CC5" s="456" t="s">
        <v>291</v>
      </c>
    </row>
    <row r="6" spans="1:81" x14ac:dyDescent="0.2">
      <c r="A6" s="266" t="s">
        <v>26</v>
      </c>
      <c r="B6" s="267" t="s">
        <v>43</v>
      </c>
      <c r="C6" s="268" t="s">
        <v>33</v>
      </c>
      <c r="D6" s="269" t="s">
        <v>90</v>
      </c>
      <c r="E6" s="270" t="s">
        <v>41</v>
      </c>
      <c r="F6" s="271"/>
      <c r="G6" s="271"/>
      <c r="H6" s="175">
        <v>0.1</v>
      </c>
      <c r="I6" s="466">
        <f t="shared" ref="I6:I37" si="0">IF(PLOT_TYPE=1, H6/100*Iout_max, min_I*EXP(H6*rr/100))</f>
        <v>8.0000000000000004E-4</v>
      </c>
      <c r="J6" s="222"/>
      <c r="K6" s="222"/>
      <c r="L6" s="222"/>
      <c r="M6" s="222"/>
      <c r="N6" s="272"/>
      <c r="O6" s="177"/>
      <c r="P6" s="222"/>
      <c r="Q6" s="452"/>
      <c r="S6" s="273"/>
      <c r="T6" s="273"/>
      <c r="U6" s="273"/>
      <c r="AJ6" s="452"/>
      <c r="AY6" s="221">
        <f>Vout*I6</f>
        <v>9.6000000000000009E-3</v>
      </c>
      <c r="AZ6" s="274">
        <f>AY6/(AY6+AX6)</f>
        <v>1</v>
      </c>
      <c r="BA6" s="350">
        <f t="shared" ref="BA6:BA9" si="1">AG6/($AY6+$AX6)</f>
        <v>0</v>
      </c>
      <c r="BB6" s="350">
        <f>AO6/($AY6+$AX6)</f>
        <v>0</v>
      </c>
      <c r="BC6" s="350" t="e">
        <f t="shared" ref="BC6:BC9" si="2">Vin*R6*(QgBot+Qg)/($AY6+$AX6)</f>
        <v>#NAME?</v>
      </c>
      <c r="BD6" s="350">
        <f t="shared" ref="BD6:BD9" si="3">AK6/($AY6+$AX6)</f>
        <v>0</v>
      </c>
      <c r="BE6" s="350">
        <f t="shared" ref="BE6:BE9" si="4">AQ6/(AX6+AY6)</f>
        <v>0</v>
      </c>
      <c r="BF6" s="350">
        <f t="shared" ref="BF6:BF9" si="5">AR6/($AY6+$AX6)</f>
        <v>0</v>
      </c>
      <c r="BG6" s="350">
        <f t="shared" ref="BG6:BG9" si="6">W6/($AY6+$AX6)</f>
        <v>0</v>
      </c>
      <c r="BH6" s="350">
        <f t="shared" ref="BH6:BH9" si="7">X6/($AY6+$AX6)</f>
        <v>0</v>
      </c>
      <c r="BI6" s="350">
        <f t="shared" ref="BI6:BI9" si="8">(AB6+AE6)/($AY6+$AX6)</f>
        <v>0</v>
      </c>
      <c r="BJ6" s="224">
        <f>AT6/($AY6+$AX6)</f>
        <v>0</v>
      </c>
      <c r="BK6" s="224">
        <f>AX6/($AY6+$AX6)</f>
        <v>0</v>
      </c>
      <c r="BL6" s="224">
        <f>AZ6</f>
        <v>1</v>
      </c>
      <c r="BM6" s="177">
        <f>100*BL6</f>
        <v>100</v>
      </c>
      <c r="BN6" s="222">
        <f xml:space="preserve"> CHOOSE(MODE, I6*1000,#REF!)</f>
        <v>0.8</v>
      </c>
      <c r="BO6" s="177">
        <v>59.702372085750142</v>
      </c>
      <c r="BP6" s="224">
        <f>BO6/100</f>
        <v>0.59702372085750144</v>
      </c>
      <c r="BQ6" s="275">
        <f t="shared" ref="BQ6:BQ9" si="9">R6/1000</f>
        <v>0</v>
      </c>
      <c r="BR6" s="276"/>
      <c r="BS6" s="224">
        <f>AL6/($AY6+$AX6)</f>
        <v>0</v>
      </c>
      <c r="BT6" s="277"/>
      <c r="BU6" s="177">
        <f>1000*AW6</f>
        <v>0</v>
      </c>
      <c r="BV6" s="177">
        <f>1000*AU6</f>
        <v>0</v>
      </c>
      <c r="BW6" s="177">
        <f t="shared" ref="BW6:BW9" si="10">1000*Y6</f>
        <v>0</v>
      </c>
      <c r="BX6" s="224"/>
      <c r="BY6" s="224"/>
      <c r="BZ6" s="177">
        <f xml:space="preserve"> IF(MODE=1, BM6,#REF!)</f>
        <v>100</v>
      </c>
      <c r="CA6" s="177">
        <f xml:space="preserve"> IF(MODE=1, BU6,#REF!)</f>
        <v>0</v>
      </c>
      <c r="CB6" s="177">
        <f xml:space="preserve"> IF(MODE=1, BV6,#REF!)</f>
        <v>0</v>
      </c>
      <c r="CC6" s="177">
        <f xml:space="preserve"> IF(MODE=1, BW6,#REF!)</f>
        <v>0</v>
      </c>
    </row>
    <row r="7" spans="1:81" x14ac:dyDescent="0.2">
      <c r="A7" s="423"/>
      <c r="B7" s="267"/>
      <c r="C7" s="268"/>
      <c r="D7" s="269"/>
      <c r="E7" s="270"/>
      <c r="F7" s="271"/>
      <c r="G7" s="271"/>
      <c r="H7" s="175">
        <v>1</v>
      </c>
      <c r="I7" s="466">
        <f t="shared" si="0"/>
        <v>8.0000000000000002E-3</v>
      </c>
      <c r="J7" s="222"/>
      <c r="K7" s="222"/>
      <c r="L7" s="222"/>
      <c r="M7" s="222"/>
      <c r="N7" s="272"/>
      <c r="O7" s="177"/>
      <c r="P7" s="222"/>
      <c r="Q7" s="452"/>
      <c r="S7" s="273"/>
      <c r="T7" s="273"/>
      <c r="U7" s="273"/>
      <c r="AJ7" s="452"/>
      <c r="AY7" s="221">
        <f>Vout*I7</f>
        <v>9.6000000000000002E-2</v>
      </c>
      <c r="AZ7" s="274">
        <f>AY7/(AY7+AX7)</f>
        <v>1</v>
      </c>
      <c r="BA7" s="350">
        <f t="shared" si="1"/>
        <v>0</v>
      </c>
      <c r="BB7" s="350">
        <f>AO7/($AY7+$AX7)</f>
        <v>0</v>
      </c>
      <c r="BC7" s="350" t="e">
        <f t="shared" si="2"/>
        <v>#NAME?</v>
      </c>
      <c r="BD7" s="350">
        <f t="shared" ref="BD7" si="11">AK7/($AY7+$AX7)</f>
        <v>0</v>
      </c>
      <c r="BE7" s="350">
        <f t="shared" ref="BE7" si="12">AQ7/(AX7+AY7)</f>
        <v>0</v>
      </c>
      <c r="BF7" s="350">
        <f t="shared" ref="BF7" si="13">AR7/($AY7+$AX7)</f>
        <v>0</v>
      </c>
      <c r="BG7" s="350">
        <f t="shared" si="6"/>
        <v>0</v>
      </c>
      <c r="BH7" s="350">
        <f t="shared" si="7"/>
        <v>0</v>
      </c>
      <c r="BI7" s="350">
        <f t="shared" si="8"/>
        <v>0</v>
      </c>
      <c r="BJ7" s="224">
        <f>AT7/($AY7+$AX7)</f>
        <v>0</v>
      </c>
      <c r="BK7" s="224">
        <f t="shared" ref="BK7:BK9" si="14">AX7/($AY7+$AX7)</f>
        <v>0</v>
      </c>
      <c r="BL7" s="224">
        <f>AZ7</f>
        <v>1</v>
      </c>
      <c r="BM7" s="177">
        <f>100*BL7</f>
        <v>100</v>
      </c>
      <c r="BN7" s="222">
        <f xml:space="preserve"> CHOOSE(MODE, I7*1000,#REF!)</f>
        <v>8</v>
      </c>
      <c r="BO7" s="177">
        <v>83.682599061581868</v>
      </c>
      <c r="BP7" s="224">
        <f t="shared" ref="BP7:BP9" si="15">BO7/100</f>
        <v>0.83682599061581864</v>
      </c>
      <c r="BQ7" s="275">
        <f t="shared" si="9"/>
        <v>0</v>
      </c>
      <c r="BR7" s="276"/>
      <c r="BS7" s="224">
        <f>AL7/($AY7+$AX7)</f>
        <v>0</v>
      </c>
      <c r="BT7" s="277"/>
      <c r="BU7" s="177">
        <f>1000*AW7</f>
        <v>0</v>
      </c>
      <c r="BV7" s="177">
        <f>1000*AU7</f>
        <v>0</v>
      </c>
      <c r="BW7" s="177">
        <f t="shared" si="10"/>
        <v>0</v>
      </c>
      <c r="BX7" s="224"/>
      <c r="BY7" s="224"/>
      <c r="BZ7" s="177">
        <f xml:space="preserve"> IF(MODE=1, BM7,#REF!)</f>
        <v>100</v>
      </c>
      <c r="CA7" s="177">
        <f xml:space="preserve"> IF(MODE=1, BU7,#REF!)</f>
        <v>0</v>
      </c>
      <c r="CB7" s="177">
        <f xml:space="preserve"> IF(MODE=1, BV7,#REF!)</f>
        <v>0</v>
      </c>
      <c r="CC7" s="177">
        <f xml:space="preserve"> IF(MODE=1, BW7,#REF!)</f>
        <v>0</v>
      </c>
    </row>
    <row r="8" spans="1:81" x14ac:dyDescent="0.2">
      <c r="A8" s="278" t="s">
        <v>3</v>
      </c>
      <c r="B8" s="279">
        <f>Vin</f>
        <v>13.5</v>
      </c>
      <c r="C8" s="280" t="s">
        <v>0</v>
      </c>
      <c r="D8" s="199">
        <f>B8</f>
        <v>13.5</v>
      </c>
      <c r="E8" s="193" t="s">
        <v>3</v>
      </c>
      <c r="F8" s="271"/>
      <c r="G8" s="271"/>
      <c r="H8" s="175">
        <v>2</v>
      </c>
      <c r="I8" s="466">
        <f t="shared" si="0"/>
        <v>1.6E-2</v>
      </c>
      <c r="J8" s="222"/>
      <c r="K8" s="222"/>
      <c r="L8" s="222"/>
      <c r="M8" s="222"/>
      <c r="N8" s="272"/>
      <c r="O8" s="177"/>
      <c r="P8" s="222"/>
      <c r="Q8" s="452"/>
      <c r="S8" s="273"/>
      <c r="T8" s="273"/>
      <c r="U8" s="273"/>
      <c r="AJ8" s="452"/>
      <c r="AY8" s="221">
        <f>Vout*I8</f>
        <v>0.192</v>
      </c>
      <c r="AZ8" s="274">
        <f>AY8/(AY8+AX8)</f>
        <v>1</v>
      </c>
      <c r="BA8" s="350">
        <f t="shared" si="1"/>
        <v>0</v>
      </c>
      <c r="BB8" s="350">
        <f t="shared" ref="BB8:BB9" si="16">AO8/($AY8+$AX8)</f>
        <v>0</v>
      </c>
      <c r="BC8" s="350" t="e">
        <f t="shared" si="2"/>
        <v>#NAME?</v>
      </c>
      <c r="BD8" s="350">
        <f t="shared" si="3"/>
        <v>0</v>
      </c>
      <c r="BE8" s="350">
        <f t="shared" si="4"/>
        <v>0</v>
      </c>
      <c r="BF8" s="350">
        <f t="shared" si="5"/>
        <v>0</v>
      </c>
      <c r="BG8" s="350">
        <f t="shared" si="6"/>
        <v>0</v>
      </c>
      <c r="BH8" s="350">
        <f t="shared" si="7"/>
        <v>0</v>
      </c>
      <c r="BI8" s="350">
        <f t="shared" si="8"/>
        <v>0</v>
      </c>
      <c r="BJ8" s="224">
        <f t="shared" ref="BJ8:BJ9" si="17">AT8/($AY8+$AX8)</f>
        <v>0</v>
      </c>
      <c r="BK8" s="224">
        <f t="shared" si="14"/>
        <v>0</v>
      </c>
      <c r="BL8" s="224">
        <f t="shared" ref="BL8:BL9" si="18">AZ8</f>
        <v>1</v>
      </c>
      <c r="BM8" s="177">
        <f t="shared" ref="BM8:BM9" si="19">100*BL8</f>
        <v>100</v>
      </c>
      <c r="BN8" s="222">
        <f xml:space="preserve"> CHOOSE(MODE, I8*1000,#REF!)</f>
        <v>16</v>
      </c>
      <c r="BO8" s="177">
        <v>85.591306536493136</v>
      </c>
      <c r="BP8" s="224">
        <f t="shared" si="15"/>
        <v>0.85591306536493139</v>
      </c>
      <c r="BQ8" s="275">
        <f t="shared" si="9"/>
        <v>0</v>
      </c>
      <c r="BR8" s="276"/>
      <c r="BS8" s="224">
        <f t="shared" ref="BS8:BS9" si="20">AL8/($AY8+$AX8)</f>
        <v>0</v>
      </c>
      <c r="BT8" s="277"/>
      <c r="BU8" s="177">
        <f t="shared" ref="BU8:BU9" si="21">1000*AW8</f>
        <v>0</v>
      </c>
      <c r="BV8" s="177">
        <f t="shared" ref="BV8:BV9" si="22">1000*AU8</f>
        <v>0</v>
      </c>
      <c r="BW8" s="177">
        <f t="shared" si="10"/>
        <v>0</v>
      </c>
      <c r="BX8" s="224"/>
      <c r="BY8" s="224"/>
      <c r="BZ8" s="177">
        <f xml:space="preserve"> IF(MODE=1, BM8,#REF!)</f>
        <v>100</v>
      </c>
      <c r="CA8" s="177">
        <f xml:space="preserve"> IF(MODE=1, BU8,#REF!)</f>
        <v>0</v>
      </c>
      <c r="CB8" s="177">
        <f xml:space="preserve"> IF(MODE=1, BV8,#REF!)</f>
        <v>0</v>
      </c>
      <c r="CC8" s="177">
        <f xml:space="preserve"> IF(MODE=1, BW8,#REF!)</f>
        <v>0</v>
      </c>
    </row>
    <row r="9" spans="1:81" x14ac:dyDescent="0.2">
      <c r="A9" s="281" t="s">
        <v>4</v>
      </c>
      <c r="B9" s="279">
        <f>Vout</f>
        <v>12</v>
      </c>
      <c r="C9" s="280" t="s">
        <v>0</v>
      </c>
      <c r="D9" s="199">
        <f>B9</f>
        <v>12</v>
      </c>
      <c r="E9" s="193" t="s">
        <v>4</v>
      </c>
      <c r="F9" s="271"/>
      <c r="G9" s="271"/>
      <c r="H9" s="175">
        <v>3</v>
      </c>
      <c r="I9" s="466">
        <f t="shared" si="0"/>
        <v>2.4E-2</v>
      </c>
      <c r="J9" s="222"/>
      <c r="K9" s="222"/>
      <c r="L9" s="222"/>
      <c r="M9" s="222"/>
      <c r="N9" s="272"/>
      <c r="O9" s="177"/>
      <c r="P9" s="222"/>
      <c r="Q9" s="452"/>
      <c r="S9" s="273"/>
      <c r="T9" s="273"/>
      <c r="U9" s="273"/>
      <c r="AJ9" s="452"/>
      <c r="AY9" s="221">
        <f>Vout*I9</f>
        <v>0.28800000000000003</v>
      </c>
      <c r="AZ9" s="274">
        <f t="shared" ref="AZ9" si="23">AY9/(AY9+AX9)</f>
        <v>1</v>
      </c>
      <c r="BA9" s="350">
        <f t="shared" si="1"/>
        <v>0</v>
      </c>
      <c r="BB9" s="350">
        <f t="shared" si="16"/>
        <v>0</v>
      </c>
      <c r="BC9" s="350" t="e">
        <f t="shared" si="2"/>
        <v>#NAME?</v>
      </c>
      <c r="BD9" s="350">
        <f t="shared" si="3"/>
        <v>0</v>
      </c>
      <c r="BE9" s="350">
        <f t="shared" si="4"/>
        <v>0</v>
      </c>
      <c r="BF9" s="350">
        <f t="shared" si="5"/>
        <v>0</v>
      </c>
      <c r="BG9" s="350">
        <f t="shared" si="6"/>
        <v>0</v>
      </c>
      <c r="BH9" s="350">
        <f t="shared" si="7"/>
        <v>0</v>
      </c>
      <c r="BI9" s="350">
        <f t="shared" si="8"/>
        <v>0</v>
      </c>
      <c r="BJ9" s="224">
        <f t="shared" si="17"/>
        <v>0</v>
      </c>
      <c r="BK9" s="224">
        <f t="shared" si="14"/>
        <v>0</v>
      </c>
      <c r="BL9" s="224">
        <f t="shared" si="18"/>
        <v>1</v>
      </c>
      <c r="BM9" s="177">
        <f t="shared" si="19"/>
        <v>100</v>
      </c>
      <c r="BN9" s="222">
        <f xml:space="preserve"> CHOOSE(MODE, I9*1000,#REF!)</f>
        <v>24</v>
      </c>
      <c r="BO9" s="177">
        <v>86.246143423411425</v>
      </c>
      <c r="BP9" s="224">
        <f t="shared" si="15"/>
        <v>0.86246143423411425</v>
      </c>
      <c r="BQ9" s="275">
        <f t="shared" si="9"/>
        <v>0</v>
      </c>
      <c r="BR9" s="276"/>
      <c r="BS9" s="224">
        <f t="shared" si="20"/>
        <v>0</v>
      </c>
      <c r="BT9" s="277"/>
      <c r="BU9" s="177">
        <f t="shared" si="21"/>
        <v>0</v>
      </c>
      <c r="BV9" s="177">
        <f t="shared" si="22"/>
        <v>0</v>
      </c>
      <c r="BW9" s="177">
        <f t="shared" si="10"/>
        <v>0</v>
      </c>
      <c r="BX9" s="224"/>
      <c r="BY9" s="224"/>
      <c r="BZ9" s="177">
        <f xml:space="preserve"> IF(MODE=1, BM9,#REF!)</f>
        <v>100</v>
      </c>
      <c r="CA9" s="177">
        <f xml:space="preserve"> IF(MODE=1, BU9,#REF!)</f>
        <v>0</v>
      </c>
      <c r="CB9" s="177">
        <f xml:space="preserve"> IF(MODE=1, BV9,#REF!)</f>
        <v>0</v>
      </c>
      <c r="CC9" s="177">
        <f xml:space="preserve"> IF(MODE=1, BW9,#REF!)</f>
        <v>0</v>
      </c>
    </row>
    <row r="10" spans="1:81" x14ac:dyDescent="0.2">
      <c r="A10" s="281" t="s">
        <v>5</v>
      </c>
      <c r="B10" s="279">
        <f>Iout</f>
        <v>0.8</v>
      </c>
      <c r="C10" s="280" t="s">
        <v>1</v>
      </c>
      <c r="D10" s="199">
        <f>B10</f>
        <v>0.8</v>
      </c>
      <c r="E10" s="282" t="s">
        <v>242</v>
      </c>
      <c r="F10" s="271"/>
      <c r="G10" s="271"/>
      <c r="H10" s="175">
        <v>4</v>
      </c>
      <c r="I10" s="466">
        <f t="shared" si="0"/>
        <v>3.2000000000000001E-2</v>
      </c>
      <c r="J10" s="222"/>
      <c r="K10" s="222"/>
      <c r="L10" s="222"/>
      <c r="M10" s="222"/>
      <c r="N10" s="272"/>
      <c r="O10" s="177"/>
      <c r="P10" s="222"/>
      <c r="Q10" s="452"/>
      <c r="S10" s="273"/>
      <c r="T10" s="273"/>
      <c r="U10" s="273"/>
      <c r="AJ10" s="452"/>
      <c r="AZ10" s="274"/>
      <c r="BJ10" s="224"/>
      <c r="BK10" s="224"/>
      <c r="BL10" s="224"/>
      <c r="BO10" s="177"/>
      <c r="BP10" s="224"/>
      <c r="BQ10" s="275"/>
      <c r="BR10" s="276"/>
      <c r="BS10" s="224"/>
      <c r="BT10" s="277"/>
      <c r="BX10" s="224"/>
      <c r="BY10" s="224"/>
      <c r="BZ10" s="177"/>
      <c r="CA10" s="177"/>
      <c r="CB10" s="177"/>
      <c r="CC10" s="177"/>
    </row>
    <row r="11" spans="1:81" x14ac:dyDescent="0.2">
      <c r="A11" s="281" t="s">
        <v>139</v>
      </c>
      <c r="B11" s="653"/>
      <c r="C11" s="283" t="s">
        <v>243</v>
      </c>
      <c r="D11" s="297">
        <f>B11*1000</f>
        <v>0</v>
      </c>
      <c r="E11" s="282"/>
      <c r="F11" s="271"/>
      <c r="G11" s="271"/>
      <c r="H11" s="175">
        <v>5</v>
      </c>
      <c r="I11" s="466">
        <f t="shared" si="0"/>
        <v>4.0000000000000008E-2</v>
      </c>
      <c r="J11" s="222"/>
      <c r="K11" s="222"/>
      <c r="L11" s="222"/>
      <c r="M11" s="222"/>
      <c r="N11" s="272"/>
      <c r="O11" s="177"/>
      <c r="P11" s="222"/>
      <c r="Q11" s="452"/>
      <c r="S11" s="273"/>
      <c r="T11" s="273"/>
      <c r="U11" s="273"/>
      <c r="AJ11" s="452"/>
      <c r="AZ11" s="274"/>
      <c r="BJ11" s="224"/>
      <c r="BK11" s="224"/>
      <c r="BL11" s="224"/>
      <c r="BO11" s="177"/>
      <c r="BP11" s="224"/>
      <c r="BQ11" s="275"/>
      <c r="BR11" s="276"/>
      <c r="BS11" s="224"/>
      <c r="BT11" s="277"/>
      <c r="BX11" s="224"/>
      <c r="BY11" s="224"/>
      <c r="BZ11" s="177"/>
      <c r="CA11" s="177"/>
      <c r="CB11" s="177"/>
      <c r="CC11" s="177"/>
    </row>
    <row r="12" spans="1:81" x14ac:dyDescent="0.2">
      <c r="A12" s="281" t="s">
        <v>244</v>
      </c>
      <c r="B12" s="279">
        <v>25</v>
      </c>
      <c r="C12" s="280" t="s">
        <v>102</v>
      </c>
      <c r="D12" s="199">
        <f>B12</f>
        <v>25</v>
      </c>
      <c r="E12" s="282" t="s">
        <v>245</v>
      </c>
      <c r="F12" s="271">
        <f>Turns_Ratio</f>
        <v>6</v>
      </c>
      <c r="H12" s="175">
        <v>6</v>
      </c>
      <c r="I12" s="466">
        <f t="shared" si="0"/>
        <v>4.8000000000000001E-2</v>
      </c>
      <c r="J12" s="222"/>
      <c r="K12" s="222"/>
      <c r="L12" s="222"/>
      <c r="M12" s="222"/>
      <c r="N12" s="272"/>
      <c r="O12" s="177"/>
      <c r="P12" s="222"/>
      <c r="Q12" s="452"/>
      <c r="S12" s="273"/>
      <c r="T12" s="273"/>
      <c r="U12" s="273"/>
      <c r="AJ12" s="452"/>
      <c r="AZ12" s="274"/>
      <c r="BJ12" s="224"/>
      <c r="BK12" s="224"/>
      <c r="BL12" s="224"/>
      <c r="BO12" s="177"/>
      <c r="BP12" s="224"/>
      <c r="BQ12" s="275"/>
      <c r="BR12" s="276"/>
      <c r="BS12" s="224"/>
      <c r="BT12" s="277"/>
      <c r="BX12" s="224"/>
      <c r="BY12" s="224"/>
      <c r="BZ12" s="177"/>
      <c r="CA12" s="177"/>
      <c r="CB12" s="177"/>
      <c r="CC12" s="177"/>
    </row>
    <row r="13" spans="1:81" x14ac:dyDescent="0.2">
      <c r="A13" s="284" t="s">
        <v>246</v>
      </c>
      <c r="B13" s="285">
        <v>5</v>
      </c>
      <c r="C13" s="280" t="s">
        <v>0</v>
      </c>
      <c r="D13" s="199">
        <f>B13</f>
        <v>5</v>
      </c>
      <c r="E13" s="282"/>
      <c r="F13" s="271"/>
      <c r="G13" s="271"/>
      <c r="H13" s="175">
        <v>7</v>
      </c>
      <c r="I13" s="466">
        <f t="shared" si="0"/>
        <v>5.6000000000000008E-2</v>
      </c>
      <c r="J13" s="222"/>
      <c r="K13" s="222"/>
      <c r="L13" s="222"/>
      <c r="M13" s="222"/>
      <c r="N13" s="272"/>
      <c r="O13" s="177"/>
      <c r="P13" s="222"/>
      <c r="Q13" s="452"/>
      <c r="S13" s="273"/>
      <c r="T13" s="273"/>
      <c r="U13" s="273"/>
      <c r="AJ13" s="452"/>
      <c r="AZ13" s="274"/>
      <c r="BJ13" s="224"/>
      <c r="BK13" s="224"/>
      <c r="BL13" s="224"/>
      <c r="BO13" s="177"/>
      <c r="BP13" s="224"/>
      <c r="BQ13" s="275"/>
      <c r="BR13" s="276"/>
      <c r="BS13" s="224"/>
      <c r="BT13" s="277"/>
      <c r="BX13" s="224"/>
      <c r="BY13" s="224"/>
      <c r="BZ13" s="177"/>
      <c r="CA13" s="177"/>
      <c r="CB13" s="177"/>
      <c r="CC13" s="177"/>
    </row>
    <row r="14" spans="1:81" x14ac:dyDescent="0.2">
      <c r="F14" s="271"/>
      <c r="G14" s="271"/>
      <c r="H14" s="175">
        <v>8</v>
      </c>
      <c r="I14" s="466">
        <f t="shared" si="0"/>
        <v>6.4000000000000001E-2</v>
      </c>
      <c r="J14" s="222"/>
      <c r="K14" s="222"/>
      <c r="L14" s="222"/>
      <c r="M14" s="222"/>
      <c r="N14" s="272"/>
      <c r="O14" s="177"/>
      <c r="P14" s="222"/>
      <c r="Q14" s="452"/>
      <c r="S14" s="273"/>
      <c r="T14" s="273"/>
      <c r="U14" s="273"/>
      <c r="AJ14" s="452"/>
      <c r="AZ14" s="274"/>
      <c r="BJ14" s="224"/>
      <c r="BK14" s="224"/>
      <c r="BL14" s="224"/>
      <c r="BO14" s="177"/>
      <c r="BP14" s="224"/>
      <c r="BQ14" s="275"/>
      <c r="BR14" s="276"/>
      <c r="BS14" s="224"/>
      <c r="BT14" s="277"/>
      <c r="BX14" s="224"/>
      <c r="BY14" s="224"/>
      <c r="BZ14" s="177"/>
      <c r="CA14" s="177"/>
      <c r="CB14" s="177"/>
      <c r="CC14" s="177"/>
    </row>
    <row r="15" spans="1:81" x14ac:dyDescent="0.2">
      <c r="A15" s="286" t="s">
        <v>34</v>
      </c>
      <c r="B15" s="244"/>
      <c r="C15" s="244"/>
      <c r="D15" s="244"/>
      <c r="E15" s="245"/>
      <c r="F15" s="271"/>
      <c r="G15" s="271"/>
      <c r="H15" s="175">
        <v>9</v>
      </c>
      <c r="I15" s="466">
        <f t="shared" si="0"/>
        <v>7.1999999999999995E-2</v>
      </c>
      <c r="J15" s="222"/>
      <c r="K15" s="222"/>
      <c r="L15" s="222"/>
      <c r="M15" s="222"/>
      <c r="N15" s="272"/>
      <c r="O15" s="177"/>
      <c r="P15" s="222"/>
      <c r="Q15" s="452"/>
      <c r="S15" s="273"/>
      <c r="T15" s="273"/>
      <c r="U15" s="273"/>
      <c r="AJ15" s="452"/>
      <c r="AZ15" s="274"/>
      <c r="BJ15" s="224"/>
      <c r="BK15" s="224"/>
      <c r="BL15" s="224"/>
      <c r="BO15" s="177"/>
      <c r="BP15" s="224"/>
      <c r="BQ15" s="275"/>
      <c r="BR15" s="276"/>
      <c r="BS15" s="224"/>
      <c r="BT15" s="277"/>
      <c r="BX15" s="224"/>
      <c r="BY15" s="224"/>
      <c r="BZ15" s="177"/>
      <c r="CA15" s="177"/>
      <c r="CB15" s="177"/>
      <c r="CC15" s="177"/>
    </row>
    <row r="16" spans="1:81" x14ac:dyDescent="0.2">
      <c r="A16" s="287" t="s">
        <v>26</v>
      </c>
      <c r="B16" s="267" t="s">
        <v>6</v>
      </c>
      <c r="C16" s="288" t="s">
        <v>33</v>
      </c>
      <c r="D16" s="289" t="s">
        <v>90</v>
      </c>
      <c r="E16" s="270" t="s">
        <v>41</v>
      </c>
      <c r="F16" s="271"/>
      <c r="G16" s="271"/>
      <c r="H16" s="175">
        <v>10</v>
      </c>
      <c r="I16" s="466">
        <f t="shared" si="0"/>
        <v>8.0000000000000016E-2</v>
      </c>
      <c r="J16" s="222"/>
      <c r="K16" s="222"/>
      <c r="L16" s="222"/>
      <c r="M16" s="222"/>
      <c r="N16" s="272"/>
      <c r="O16" s="177"/>
      <c r="P16" s="222"/>
      <c r="Q16" s="452"/>
      <c r="S16" s="273"/>
      <c r="T16" s="273"/>
      <c r="U16" s="273"/>
      <c r="AJ16" s="452"/>
      <c r="AZ16" s="274"/>
      <c r="BJ16" s="224"/>
      <c r="BK16" s="224"/>
      <c r="BL16" s="224"/>
      <c r="BO16" s="177"/>
      <c r="BP16" s="224"/>
      <c r="BQ16" s="275"/>
      <c r="BR16" s="276"/>
      <c r="BS16" s="224"/>
      <c r="BT16" s="277"/>
      <c r="BX16" s="224"/>
      <c r="BY16" s="224"/>
      <c r="BZ16" s="177"/>
      <c r="CA16" s="177"/>
      <c r="CB16" s="177"/>
      <c r="CC16" s="177"/>
    </row>
    <row r="17" spans="1:81" x14ac:dyDescent="0.2">
      <c r="A17" s="290" t="s">
        <v>247</v>
      </c>
      <c r="B17" s="291">
        <f>Vout/Vin/Fsw*1000000</f>
        <v>1777.7777777777776</v>
      </c>
      <c r="C17" s="292" t="s">
        <v>248</v>
      </c>
      <c r="D17" s="293">
        <f>B17/1000000</f>
        <v>1.7777777777777776E-3</v>
      </c>
      <c r="E17" s="282" t="s">
        <v>249</v>
      </c>
      <c r="F17" s="271"/>
      <c r="G17" s="271"/>
      <c r="H17" s="175">
        <v>11</v>
      </c>
      <c r="I17" s="466">
        <f t="shared" si="0"/>
        <v>8.8000000000000009E-2</v>
      </c>
      <c r="J17" s="222"/>
      <c r="K17" s="222"/>
      <c r="L17" s="222"/>
      <c r="M17" s="222"/>
      <c r="N17" s="272"/>
      <c r="O17" s="177"/>
      <c r="P17" s="222"/>
      <c r="Q17" s="452"/>
      <c r="S17" s="273"/>
      <c r="T17" s="273"/>
      <c r="U17" s="273"/>
      <c r="AJ17" s="452"/>
      <c r="AZ17" s="274"/>
      <c r="BJ17" s="224"/>
      <c r="BK17" s="224"/>
      <c r="BL17" s="224"/>
      <c r="BO17" s="177"/>
      <c r="BP17" s="224"/>
      <c r="BQ17" s="275"/>
      <c r="BR17" s="276"/>
      <c r="BS17" s="224"/>
      <c r="BT17" s="277"/>
      <c r="BX17" s="224"/>
      <c r="BY17" s="224"/>
      <c r="BZ17" s="177"/>
      <c r="CA17" s="177"/>
      <c r="CB17" s="177"/>
      <c r="CC17" s="177"/>
    </row>
    <row r="18" spans="1:81" x14ac:dyDescent="0.2">
      <c r="A18" s="290" t="s">
        <v>250</v>
      </c>
      <c r="B18" s="291"/>
      <c r="C18" s="292" t="s">
        <v>248</v>
      </c>
      <c r="D18" s="294">
        <f>B18/1000000</f>
        <v>0</v>
      </c>
      <c r="E18" s="280" t="s">
        <v>251</v>
      </c>
      <c r="F18" s="271"/>
      <c r="G18" s="271"/>
      <c r="H18" s="175">
        <v>12</v>
      </c>
      <c r="I18" s="466">
        <f t="shared" si="0"/>
        <v>9.6000000000000002E-2</v>
      </c>
      <c r="J18" s="222"/>
      <c r="K18" s="222"/>
      <c r="L18" s="222"/>
      <c r="M18" s="222"/>
      <c r="N18" s="272"/>
      <c r="O18" s="177"/>
      <c r="P18" s="222"/>
      <c r="Q18" s="452"/>
      <c r="S18" s="273"/>
      <c r="T18" s="273"/>
      <c r="U18" s="273"/>
      <c r="AJ18" s="452"/>
      <c r="AZ18" s="274"/>
      <c r="BJ18" s="224"/>
      <c r="BK18" s="224"/>
      <c r="BL18" s="224"/>
      <c r="BO18" s="177"/>
      <c r="BP18" s="224"/>
      <c r="BQ18" s="275"/>
      <c r="BR18" s="276"/>
      <c r="BS18" s="224"/>
      <c r="BT18" s="277"/>
      <c r="BX18" s="224"/>
      <c r="BY18" s="224"/>
      <c r="BZ18" s="177"/>
      <c r="CA18" s="177"/>
      <c r="CB18" s="177"/>
      <c r="CC18" s="177"/>
    </row>
    <row r="19" spans="1:81" ht="15.75" x14ac:dyDescent="0.3">
      <c r="A19" s="284" t="s">
        <v>252</v>
      </c>
      <c r="B19" s="295">
        <f>(Vin-Vout-(Rdcr_pri+Rdson)*Iout)/L*OnTime*1000</f>
        <v>350476.19047619042</v>
      </c>
      <c r="C19" s="282" t="s">
        <v>30</v>
      </c>
      <c r="D19" s="195">
        <f>B19/1000</f>
        <v>350.47619047619042</v>
      </c>
      <c r="E19" s="280" t="s">
        <v>253</v>
      </c>
      <c r="F19" s="271"/>
      <c r="G19" s="271"/>
      <c r="H19" s="175">
        <v>13</v>
      </c>
      <c r="I19" s="466">
        <f t="shared" si="0"/>
        <v>0.10400000000000001</v>
      </c>
      <c r="J19" s="222"/>
      <c r="K19" s="222"/>
      <c r="L19" s="222"/>
      <c r="M19" s="222"/>
      <c r="N19" s="272"/>
      <c r="O19" s="177"/>
      <c r="P19" s="222"/>
      <c r="Q19" s="452"/>
      <c r="S19" s="273"/>
      <c r="T19" s="273"/>
      <c r="U19" s="273"/>
      <c r="AJ19" s="452"/>
      <c r="AZ19" s="274"/>
      <c r="BJ19" s="224"/>
      <c r="BK19" s="224"/>
      <c r="BL19" s="224"/>
      <c r="BO19" s="177"/>
      <c r="BP19" s="224"/>
      <c r="BQ19" s="275"/>
      <c r="BR19" s="276"/>
      <c r="BS19" s="224"/>
      <c r="BT19" s="277"/>
      <c r="BX19" s="224"/>
      <c r="BY19" s="224"/>
      <c r="BZ19" s="177"/>
      <c r="CA19" s="177"/>
      <c r="CB19" s="177"/>
      <c r="CC19" s="177"/>
    </row>
    <row r="20" spans="1:81" x14ac:dyDescent="0.2">
      <c r="A20" s="290" t="s">
        <v>254</v>
      </c>
      <c r="B20" s="296">
        <f>'Design PSR Flyback Converter'!E13</f>
        <v>0.5</v>
      </c>
      <c r="C20" s="280" t="s">
        <v>2</v>
      </c>
      <c r="D20" s="297">
        <f>B20*1000</f>
        <v>500</v>
      </c>
      <c r="E20" s="282" t="s">
        <v>255</v>
      </c>
      <c r="F20" s="363"/>
      <c r="G20" s="271"/>
      <c r="H20" s="175">
        <v>14</v>
      </c>
      <c r="I20" s="466">
        <f t="shared" si="0"/>
        <v>0.11200000000000002</v>
      </c>
      <c r="J20" s="222"/>
      <c r="K20" s="222"/>
      <c r="L20" s="222"/>
      <c r="M20" s="222"/>
      <c r="N20" s="272"/>
      <c r="O20" s="177"/>
      <c r="P20" s="222"/>
      <c r="Q20" s="452"/>
      <c r="S20" s="273"/>
      <c r="T20" s="273"/>
      <c r="U20" s="273"/>
      <c r="AJ20" s="452"/>
      <c r="AZ20" s="274"/>
      <c r="BJ20" s="224"/>
      <c r="BK20" s="224"/>
      <c r="BL20" s="224"/>
      <c r="BO20" s="177"/>
      <c r="BP20" s="224"/>
      <c r="BQ20" s="275"/>
      <c r="BR20" s="276"/>
      <c r="BS20" s="224"/>
      <c r="BT20" s="277"/>
      <c r="BX20" s="224"/>
      <c r="BY20" s="224"/>
      <c r="BZ20" s="177"/>
      <c r="CA20" s="177"/>
      <c r="CB20" s="177"/>
      <c r="CC20" s="177"/>
    </row>
    <row r="21" spans="1:81" x14ac:dyDescent="0.2">
      <c r="A21" s="290" t="s">
        <v>421</v>
      </c>
      <c r="B21" s="295">
        <v>350</v>
      </c>
      <c r="C21" s="282" t="s">
        <v>2</v>
      </c>
      <c r="D21" s="297">
        <f>B21*1000</f>
        <v>350000</v>
      </c>
      <c r="E21" s="282" t="s">
        <v>422</v>
      </c>
      <c r="F21" s="271"/>
      <c r="G21" s="271"/>
      <c r="H21" s="175">
        <v>15</v>
      </c>
      <c r="I21" s="466">
        <f t="shared" si="0"/>
        <v>0.12</v>
      </c>
      <c r="J21" s="222"/>
      <c r="K21" s="222"/>
      <c r="L21" s="222"/>
      <c r="M21" s="222"/>
      <c r="N21" s="272"/>
      <c r="O21" s="177"/>
      <c r="P21" s="222"/>
      <c r="Q21" s="452"/>
      <c r="S21" s="273"/>
      <c r="T21" s="273"/>
      <c r="U21" s="273"/>
      <c r="AJ21" s="452"/>
      <c r="AZ21" s="274"/>
      <c r="BJ21" s="224"/>
      <c r="BK21" s="224"/>
      <c r="BL21" s="224"/>
      <c r="BO21" s="177"/>
      <c r="BP21" s="224"/>
      <c r="BQ21" s="275"/>
      <c r="BR21" s="276"/>
      <c r="BS21" s="224"/>
      <c r="BT21" s="277"/>
      <c r="BX21" s="224"/>
      <c r="BY21" s="224"/>
      <c r="BZ21" s="177"/>
      <c r="CA21" s="177"/>
      <c r="CB21" s="177"/>
      <c r="CC21" s="177"/>
    </row>
    <row r="22" spans="1:81" x14ac:dyDescent="0.2">
      <c r="A22" s="298" t="s">
        <v>38</v>
      </c>
      <c r="B22" s="299">
        <v>10</v>
      </c>
      <c r="C22" s="280" t="s">
        <v>32</v>
      </c>
      <c r="D22" s="300">
        <f>B22/1000000000</f>
        <v>1E-8</v>
      </c>
      <c r="E22" s="193" t="s">
        <v>256</v>
      </c>
      <c r="F22" s="271"/>
      <c r="G22" s="271"/>
      <c r="H22" s="175">
        <v>16</v>
      </c>
      <c r="I22" s="466">
        <f t="shared" si="0"/>
        <v>0.128</v>
      </c>
      <c r="J22" s="222"/>
      <c r="K22" s="222"/>
      <c r="L22" s="222"/>
      <c r="M22" s="222"/>
      <c r="N22" s="272"/>
      <c r="O22" s="177"/>
      <c r="P22" s="222"/>
      <c r="Q22" s="452"/>
      <c r="S22" s="273"/>
      <c r="T22" s="273"/>
      <c r="U22" s="273"/>
      <c r="AJ22" s="452"/>
      <c r="AZ22" s="274"/>
      <c r="BJ22" s="224"/>
      <c r="BK22" s="224"/>
      <c r="BL22" s="224"/>
      <c r="BO22" s="177"/>
      <c r="BP22" s="224"/>
      <c r="BQ22" s="275"/>
      <c r="BR22" s="276"/>
      <c r="BS22" s="224"/>
      <c r="BT22" s="277"/>
      <c r="BX22" s="224"/>
      <c r="BY22" s="224"/>
      <c r="BZ22" s="177"/>
      <c r="CA22" s="177"/>
      <c r="CB22" s="177"/>
      <c r="CC22" s="177"/>
    </row>
    <row r="23" spans="1:81" x14ac:dyDescent="0.2">
      <c r="A23" s="298" t="s">
        <v>39</v>
      </c>
      <c r="B23" s="299">
        <v>10</v>
      </c>
      <c r="C23" s="280" t="s">
        <v>32</v>
      </c>
      <c r="D23" s="300">
        <f>B23/1000000000</f>
        <v>1E-8</v>
      </c>
      <c r="E23" s="193" t="s">
        <v>257</v>
      </c>
      <c r="F23" s="271"/>
      <c r="G23" s="271"/>
      <c r="H23" s="175">
        <v>17</v>
      </c>
      <c r="I23" s="466">
        <f t="shared" si="0"/>
        <v>0.13600000000000001</v>
      </c>
      <c r="J23" s="222"/>
      <c r="K23" s="222"/>
      <c r="L23" s="222"/>
      <c r="M23" s="222"/>
      <c r="N23" s="272"/>
      <c r="O23" s="177"/>
      <c r="P23" s="222"/>
      <c r="Q23" s="452"/>
      <c r="S23" s="273"/>
      <c r="T23" s="273"/>
      <c r="U23" s="273"/>
      <c r="AJ23" s="452"/>
      <c r="AZ23" s="274"/>
      <c r="BJ23" s="224"/>
      <c r="BK23" s="224"/>
      <c r="BL23" s="224"/>
      <c r="BO23" s="177"/>
      <c r="BP23" s="224"/>
      <c r="BQ23" s="275"/>
      <c r="BR23" s="276"/>
      <c r="BS23" s="224"/>
      <c r="BT23" s="277"/>
      <c r="BX23" s="224"/>
      <c r="BY23" s="224"/>
      <c r="BZ23" s="177"/>
      <c r="CA23" s="177"/>
      <c r="CB23" s="177"/>
      <c r="CC23" s="177"/>
    </row>
    <row r="24" spans="1:81" x14ac:dyDescent="0.2">
      <c r="A24" s="245"/>
      <c r="B24" s="245"/>
      <c r="C24" s="245"/>
      <c r="D24" s="245"/>
      <c r="E24" s="245"/>
      <c r="F24" s="271"/>
      <c r="G24" s="271"/>
      <c r="H24" s="175">
        <v>18</v>
      </c>
      <c r="I24" s="466">
        <f t="shared" si="0"/>
        <v>0.14399999999999999</v>
      </c>
      <c r="J24" s="222"/>
      <c r="K24" s="222"/>
      <c r="L24" s="222"/>
      <c r="M24" s="222"/>
      <c r="N24" s="272"/>
      <c r="O24" s="177"/>
      <c r="P24" s="222"/>
      <c r="Q24" s="452"/>
      <c r="S24" s="273"/>
      <c r="T24" s="273"/>
      <c r="U24" s="273"/>
      <c r="AJ24" s="452"/>
      <c r="AZ24" s="274"/>
      <c r="BJ24" s="224"/>
      <c r="BK24" s="224"/>
      <c r="BL24" s="224"/>
      <c r="BO24" s="177"/>
      <c r="BP24" s="224"/>
      <c r="BQ24" s="275"/>
      <c r="BR24" s="276"/>
      <c r="BS24" s="224"/>
      <c r="BT24" s="277"/>
      <c r="BX24" s="224"/>
      <c r="BY24" s="224"/>
      <c r="BZ24" s="177"/>
      <c r="CA24" s="177"/>
      <c r="CB24" s="177"/>
      <c r="CC24" s="177"/>
    </row>
    <row r="25" spans="1:81" x14ac:dyDescent="0.2">
      <c r="A25" s="287" t="s">
        <v>29</v>
      </c>
      <c r="B25" s="268" t="s">
        <v>43</v>
      </c>
      <c r="C25" s="288" t="s">
        <v>33</v>
      </c>
      <c r="D25" s="289" t="s">
        <v>90</v>
      </c>
      <c r="E25" s="270" t="s">
        <v>41</v>
      </c>
      <c r="F25" s="271"/>
      <c r="G25" s="271"/>
      <c r="H25" s="175">
        <v>19</v>
      </c>
      <c r="I25" s="466">
        <f t="shared" si="0"/>
        <v>0.15200000000000002</v>
      </c>
      <c r="J25" s="222"/>
      <c r="K25" s="222"/>
      <c r="L25" s="222"/>
      <c r="M25" s="222"/>
      <c r="N25" s="272"/>
      <c r="O25" s="177"/>
      <c r="P25" s="222"/>
      <c r="Q25" s="452"/>
      <c r="S25" s="273"/>
      <c r="T25" s="273"/>
      <c r="U25" s="273"/>
      <c r="AJ25" s="452"/>
      <c r="AZ25" s="274"/>
      <c r="BJ25" s="224"/>
      <c r="BK25" s="224"/>
      <c r="BL25" s="224"/>
      <c r="BO25" s="177"/>
      <c r="BP25" s="224"/>
      <c r="BQ25" s="275"/>
      <c r="BR25" s="276"/>
      <c r="BS25" s="224"/>
      <c r="BT25" s="277"/>
      <c r="BX25" s="224"/>
      <c r="BY25" s="224"/>
      <c r="BZ25" s="177"/>
      <c r="CA25" s="177"/>
      <c r="CB25" s="177"/>
      <c r="CC25" s="177"/>
    </row>
    <row r="26" spans="1:81" ht="13.5" thickBot="1" x14ac:dyDescent="0.25">
      <c r="A26" s="301" t="s">
        <v>27</v>
      </c>
      <c r="B26" s="282">
        <f>'Design PSR Flyback Converter'!L7</f>
        <v>7</v>
      </c>
      <c r="C26" s="292" t="s">
        <v>96</v>
      </c>
      <c r="D26" s="199">
        <f>B26/1000000</f>
        <v>6.9999999999999999E-6</v>
      </c>
      <c r="E26" s="282" t="s">
        <v>258</v>
      </c>
      <c r="F26" s="302"/>
      <c r="G26" s="271"/>
      <c r="H26" s="175">
        <v>20</v>
      </c>
      <c r="I26" s="466">
        <f t="shared" si="0"/>
        <v>0.16000000000000003</v>
      </c>
      <c r="J26" s="222"/>
      <c r="K26" s="222"/>
      <c r="L26" s="222"/>
      <c r="M26" s="222"/>
      <c r="N26" s="272"/>
      <c r="O26" s="177"/>
      <c r="P26" s="222"/>
      <c r="Q26" s="452"/>
      <c r="S26" s="273"/>
      <c r="T26" s="273"/>
      <c r="U26" s="273"/>
      <c r="AJ26" s="452"/>
      <c r="AZ26" s="274"/>
      <c r="BJ26" s="224"/>
      <c r="BK26" s="224"/>
      <c r="BL26" s="224"/>
      <c r="BO26" s="177"/>
      <c r="BP26" s="224"/>
      <c r="BQ26" s="275"/>
      <c r="BR26" s="276"/>
      <c r="BS26" s="224"/>
      <c r="BT26" s="277"/>
      <c r="BX26" s="224"/>
      <c r="BY26" s="224"/>
      <c r="BZ26" s="177"/>
      <c r="CA26" s="177"/>
      <c r="CB26" s="177"/>
      <c r="CC26" s="177"/>
    </row>
    <row r="27" spans="1:81" ht="13.5" thickBot="1" x14ac:dyDescent="0.25">
      <c r="A27" s="303" t="s">
        <v>396</v>
      </c>
      <c r="B27" s="304">
        <f>'Design PSR Flyback Converter'!L8</f>
        <v>40</v>
      </c>
      <c r="C27" s="305" t="s">
        <v>259</v>
      </c>
      <c r="D27" s="199">
        <f>B27/1000</f>
        <v>0.04</v>
      </c>
      <c r="E27" s="282" t="s">
        <v>491</v>
      </c>
      <c r="F27" s="271"/>
      <c r="G27" s="271"/>
      <c r="H27" s="175">
        <v>21</v>
      </c>
      <c r="I27" s="466">
        <f t="shared" si="0"/>
        <v>0.16800000000000001</v>
      </c>
      <c r="J27" s="222"/>
      <c r="K27" s="222"/>
      <c r="L27" s="222"/>
      <c r="M27" s="222"/>
      <c r="N27" s="272"/>
      <c r="O27" s="177"/>
      <c r="P27" s="222"/>
      <c r="Q27" s="452"/>
      <c r="S27" s="273"/>
      <c r="T27" s="273"/>
      <c r="U27" s="273"/>
      <c r="AJ27" s="452"/>
      <c r="AZ27" s="274"/>
      <c r="BJ27" s="224"/>
      <c r="BK27" s="224"/>
      <c r="BL27" s="224"/>
      <c r="BO27" s="177"/>
      <c r="BP27" s="224"/>
      <c r="BQ27" s="275"/>
      <c r="BR27" s="276"/>
      <c r="BS27" s="224"/>
      <c r="BT27" s="277"/>
      <c r="BX27" s="224"/>
      <c r="BY27" s="224"/>
      <c r="BZ27" s="177"/>
      <c r="CA27" s="177"/>
      <c r="CB27" s="177"/>
      <c r="CC27" s="177"/>
    </row>
    <row r="28" spans="1:81" ht="13.5" thickBot="1" x14ac:dyDescent="0.25">
      <c r="A28" s="303" t="s">
        <v>459</v>
      </c>
      <c r="B28" s="304">
        <f>'Design PSR Flyback Converter'!L9</f>
        <v>40</v>
      </c>
      <c r="C28" s="305" t="s">
        <v>259</v>
      </c>
      <c r="D28" s="199">
        <f>B28/1000</f>
        <v>0.04</v>
      </c>
      <c r="E28" s="282" t="s">
        <v>667</v>
      </c>
      <c r="F28" s="271"/>
      <c r="G28" s="271"/>
      <c r="H28" s="175">
        <v>22</v>
      </c>
      <c r="I28" s="466">
        <f t="shared" si="0"/>
        <v>0.17600000000000002</v>
      </c>
      <c r="J28" s="222"/>
      <c r="K28" s="222"/>
      <c r="L28" s="222"/>
      <c r="M28" s="222"/>
      <c r="N28" s="272"/>
      <c r="O28" s="177"/>
      <c r="P28" s="222"/>
      <c r="Q28" s="452"/>
      <c r="S28" s="273"/>
      <c r="T28" s="273"/>
      <c r="U28" s="273"/>
      <c r="AJ28" s="452"/>
      <c r="AZ28" s="274"/>
      <c r="BJ28" s="224"/>
      <c r="BK28" s="224"/>
      <c r="BL28" s="224"/>
      <c r="BO28" s="177"/>
      <c r="BP28" s="224"/>
      <c r="BQ28" s="275"/>
      <c r="BR28" s="276"/>
      <c r="BS28" s="224"/>
      <c r="BT28" s="277"/>
      <c r="BX28" s="224"/>
      <c r="BY28" s="224"/>
      <c r="BZ28" s="177"/>
      <c r="CA28" s="177"/>
      <c r="CB28" s="177"/>
      <c r="CC28" s="177"/>
    </row>
    <row r="29" spans="1:81" ht="13.5" thickBot="1" x14ac:dyDescent="0.25">
      <c r="A29" s="306" t="s">
        <v>260</v>
      </c>
      <c r="B29" s="307">
        <v>0</v>
      </c>
      <c r="C29" s="305"/>
      <c r="D29" s="308">
        <f>B29</f>
        <v>0</v>
      </c>
      <c r="E29" s="309" t="s">
        <v>490</v>
      </c>
      <c r="F29" s="271"/>
      <c r="G29" s="271"/>
      <c r="H29" s="175">
        <v>23</v>
      </c>
      <c r="I29" s="466">
        <f t="shared" si="0"/>
        <v>0.18400000000000002</v>
      </c>
      <c r="J29" s="222"/>
      <c r="K29" s="222"/>
      <c r="L29" s="222"/>
      <c r="M29" s="222"/>
      <c r="N29" s="272"/>
      <c r="O29" s="177"/>
      <c r="P29" s="222"/>
      <c r="Q29" s="452"/>
      <c r="S29" s="273"/>
      <c r="T29" s="273"/>
      <c r="U29" s="273"/>
      <c r="AJ29" s="452"/>
      <c r="AZ29" s="274"/>
      <c r="BJ29" s="224"/>
      <c r="BK29" s="224"/>
      <c r="BL29" s="224"/>
      <c r="BO29" s="177"/>
      <c r="BP29" s="224"/>
      <c r="BQ29" s="275"/>
      <c r="BR29" s="276"/>
      <c r="BS29" s="224"/>
      <c r="BT29" s="277"/>
      <c r="BX29" s="224"/>
      <c r="BY29" s="224"/>
      <c r="BZ29" s="177"/>
      <c r="CA29" s="177"/>
      <c r="CB29" s="177"/>
      <c r="CC29" s="177"/>
    </row>
    <row r="30" spans="1:81" ht="13.5" thickBot="1" x14ac:dyDescent="0.25">
      <c r="A30" s="310" t="s">
        <v>28</v>
      </c>
      <c r="B30" s="304">
        <f>'Design PSR Flyback Converter'!E17</f>
        <v>10</v>
      </c>
      <c r="C30" s="311" t="s">
        <v>97</v>
      </c>
      <c r="D30" s="312">
        <f>B30/1000000</f>
        <v>1.0000000000000001E-5</v>
      </c>
      <c r="E30" s="313" t="s">
        <v>60</v>
      </c>
      <c r="F30" s="271"/>
      <c r="G30" s="271"/>
      <c r="H30" s="175">
        <v>24</v>
      </c>
      <c r="I30" s="466">
        <f t="shared" si="0"/>
        <v>0.192</v>
      </c>
      <c r="J30" s="222"/>
      <c r="K30" s="222"/>
      <c r="L30" s="222"/>
      <c r="M30" s="222"/>
      <c r="N30" s="272"/>
      <c r="O30" s="177"/>
      <c r="P30" s="222"/>
      <c r="Q30" s="452"/>
      <c r="S30" s="273"/>
      <c r="T30" s="273"/>
      <c r="U30" s="273"/>
      <c r="AJ30" s="452"/>
      <c r="AZ30" s="274"/>
      <c r="BJ30" s="224"/>
      <c r="BK30" s="224"/>
      <c r="BL30" s="224"/>
      <c r="BO30" s="177"/>
      <c r="BP30" s="224"/>
      <c r="BQ30" s="275"/>
      <c r="BR30" s="276"/>
      <c r="BS30" s="224"/>
      <c r="BT30" s="277"/>
      <c r="BX30" s="224"/>
      <c r="BY30" s="224"/>
      <c r="BZ30" s="177"/>
      <c r="CA30" s="177"/>
      <c r="CB30" s="177"/>
      <c r="CC30" s="177"/>
    </row>
    <row r="31" spans="1:81" ht="13.5" thickBot="1" x14ac:dyDescent="0.25">
      <c r="A31" s="306" t="s">
        <v>261</v>
      </c>
      <c r="B31" s="304">
        <f>'Design PSR Flyback Converter'!E18</f>
        <v>3</v>
      </c>
      <c r="C31" s="305" t="s">
        <v>259</v>
      </c>
      <c r="D31" s="199">
        <f>B31/1000</f>
        <v>3.0000000000000001E-3</v>
      </c>
      <c r="E31" s="282" t="s">
        <v>262</v>
      </c>
      <c r="F31" s="271"/>
      <c r="G31" s="271"/>
      <c r="H31" s="175">
        <v>25</v>
      </c>
      <c r="I31" s="466">
        <f t="shared" si="0"/>
        <v>0.2</v>
      </c>
      <c r="J31" s="222"/>
      <c r="K31" s="222"/>
      <c r="L31" s="222"/>
      <c r="M31" s="222"/>
      <c r="N31" s="272"/>
      <c r="O31" s="177"/>
      <c r="P31" s="222"/>
      <c r="Q31" s="452"/>
      <c r="S31" s="273"/>
      <c r="T31" s="273"/>
      <c r="U31" s="273"/>
      <c r="AJ31" s="452"/>
      <c r="AZ31" s="274"/>
      <c r="BJ31" s="224"/>
      <c r="BK31" s="224"/>
      <c r="BL31" s="224"/>
      <c r="BO31" s="177"/>
      <c r="BP31" s="224"/>
      <c r="BQ31" s="275"/>
      <c r="BR31" s="276"/>
      <c r="BS31" s="224"/>
      <c r="BT31" s="277"/>
      <c r="BX31" s="224"/>
      <c r="BY31" s="224"/>
      <c r="BZ31" s="177"/>
      <c r="CA31" s="177"/>
      <c r="CB31" s="177"/>
      <c r="CC31" s="177"/>
    </row>
    <row r="32" spans="1:81" ht="13.5" thickBot="1" x14ac:dyDescent="0.25">
      <c r="A32" s="301" t="s">
        <v>14</v>
      </c>
      <c r="B32" s="362">
        <f>'Design PSR Flyback Converter'!E21</f>
        <v>47</v>
      </c>
      <c r="C32" s="292" t="s">
        <v>97</v>
      </c>
      <c r="D32" s="293">
        <f>B32/1000000</f>
        <v>4.6999999999999997E-5</v>
      </c>
      <c r="E32" s="282" t="s">
        <v>263</v>
      </c>
      <c r="F32" s="271"/>
      <c r="G32" s="271"/>
      <c r="H32" s="175">
        <v>26</v>
      </c>
      <c r="I32" s="466">
        <f t="shared" si="0"/>
        <v>0.20800000000000002</v>
      </c>
      <c r="J32" s="222"/>
      <c r="K32" s="222"/>
      <c r="L32" s="222"/>
      <c r="M32" s="222"/>
      <c r="N32" s="272"/>
      <c r="O32" s="177"/>
      <c r="P32" s="222"/>
      <c r="Q32" s="452"/>
      <c r="S32" s="273"/>
      <c r="T32" s="273"/>
      <c r="U32" s="273"/>
      <c r="AJ32" s="452"/>
      <c r="AZ32" s="274"/>
      <c r="BJ32" s="224"/>
      <c r="BK32" s="224"/>
      <c r="BL32" s="224"/>
      <c r="BO32" s="177"/>
      <c r="BP32" s="224"/>
      <c r="BQ32" s="275"/>
      <c r="BR32" s="276"/>
      <c r="BS32" s="224"/>
      <c r="BT32" s="277"/>
      <c r="BX32" s="224"/>
      <c r="BY32" s="224"/>
      <c r="BZ32" s="177"/>
      <c r="CA32" s="177"/>
      <c r="CB32" s="177"/>
      <c r="CC32" s="177"/>
    </row>
    <row r="33" spans="1:81" x14ac:dyDescent="0.2">
      <c r="A33" s="306" t="s">
        <v>264</v>
      </c>
      <c r="B33" s="362">
        <f>'Design PSR Flyback Converter'!E22</f>
        <v>3</v>
      </c>
      <c r="C33" s="305" t="s">
        <v>259</v>
      </c>
      <c r="D33" s="199">
        <f>B33/1000</f>
        <v>3.0000000000000001E-3</v>
      </c>
      <c r="E33" s="282" t="s">
        <v>265</v>
      </c>
      <c r="F33" s="271"/>
      <c r="G33" s="271"/>
      <c r="H33" s="175">
        <v>27</v>
      </c>
      <c r="I33" s="466">
        <f t="shared" si="0"/>
        <v>0.21600000000000003</v>
      </c>
      <c r="J33" s="222"/>
      <c r="K33" s="222"/>
      <c r="L33" s="222"/>
      <c r="M33" s="222"/>
      <c r="N33" s="272"/>
      <c r="O33" s="177"/>
      <c r="P33" s="222"/>
      <c r="Q33" s="452"/>
      <c r="S33" s="273"/>
      <c r="T33" s="273"/>
      <c r="U33" s="273"/>
      <c r="AJ33" s="452"/>
      <c r="AZ33" s="274"/>
      <c r="BJ33" s="224"/>
      <c r="BK33" s="224"/>
      <c r="BL33" s="224"/>
      <c r="BO33" s="177"/>
      <c r="BP33" s="224"/>
      <c r="BQ33" s="275"/>
      <c r="BR33" s="276"/>
      <c r="BS33" s="224"/>
      <c r="BT33" s="277"/>
      <c r="BX33" s="224"/>
      <c r="BY33" s="224"/>
      <c r="BZ33" s="177"/>
      <c r="CA33" s="177"/>
      <c r="CB33" s="177"/>
      <c r="CC33" s="177"/>
    </row>
    <row r="34" spans="1:81" x14ac:dyDescent="0.2">
      <c r="A34" s="314" t="s">
        <v>405</v>
      </c>
      <c r="B34" s="268"/>
      <c r="C34" s="314" t="s">
        <v>33</v>
      </c>
      <c r="D34" s="315" t="s">
        <v>90</v>
      </c>
      <c r="E34" s="316" t="s">
        <v>41</v>
      </c>
      <c r="F34" s="271"/>
      <c r="G34" s="271"/>
      <c r="H34" s="175">
        <v>28</v>
      </c>
      <c r="I34" s="466">
        <f t="shared" si="0"/>
        <v>0.22400000000000003</v>
      </c>
      <c r="J34" s="222"/>
      <c r="K34" s="222"/>
      <c r="L34" s="222"/>
      <c r="M34" s="222"/>
      <c r="N34" s="272"/>
      <c r="O34" s="177"/>
      <c r="P34" s="222"/>
      <c r="Q34" s="452"/>
      <c r="S34" s="273"/>
      <c r="T34" s="273"/>
      <c r="U34" s="273"/>
      <c r="AJ34" s="452"/>
      <c r="AZ34" s="274"/>
      <c r="BJ34" s="224"/>
      <c r="BK34" s="224"/>
      <c r="BL34" s="224"/>
      <c r="BO34" s="177"/>
      <c r="BP34" s="224"/>
      <c r="BQ34" s="275"/>
      <c r="BR34" s="276"/>
      <c r="BS34" s="224"/>
      <c r="BT34" s="277"/>
      <c r="BX34" s="224"/>
      <c r="BY34" s="224"/>
      <c r="BZ34" s="177"/>
      <c r="CA34" s="177"/>
      <c r="CB34" s="177"/>
      <c r="CC34" s="177"/>
    </row>
    <row r="35" spans="1:81" x14ac:dyDescent="0.2">
      <c r="A35" s="303" t="s">
        <v>410</v>
      </c>
      <c r="B35" s="317">
        <f>CHOOSE(VARIANT, 2.5, 4.1)</f>
        <v>4.0999999999999996</v>
      </c>
      <c r="C35" s="292" t="s">
        <v>1</v>
      </c>
      <c r="D35" s="274">
        <f>B35</f>
        <v>4.0999999999999996</v>
      </c>
      <c r="E35" s="193" t="s">
        <v>409</v>
      </c>
      <c r="F35" s="271"/>
      <c r="G35" s="271"/>
      <c r="H35" s="175">
        <v>29</v>
      </c>
      <c r="I35" s="466">
        <f t="shared" si="0"/>
        <v>0.23199999999999998</v>
      </c>
      <c r="J35" s="222"/>
      <c r="K35" s="222"/>
      <c r="L35" s="222"/>
      <c r="M35" s="222"/>
      <c r="N35" s="272"/>
      <c r="O35" s="177"/>
      <c r="P35" s="222"/>
      <c r="Q35" s="452"/>
      <c r="S35" s="273"/>
      <c r="T35" s="273"/>
      <c r="U35" s="273"/>
      <c r="AJ35" s="452"/>
      <c r="AZ35" s="274"/>
      <c r="BJ35" s="224"/>
      <c r="BK35" s="224"/>
      <c r="BL35" s="224"/>
      <c r="BO35" s="177"/>
      <c r="BP35" s="224"/>
      <c r="BQ35" s="275"/>
      <c r="BR35" s="276"/>
      <c r="BS35" s="224"/>
      <c r="BT35" s="277"/>
      <c r="BX35" s="224"/>
      <c r="BY35" s="224"/>
      <c r="BZ35" s="177"/>
      <c r="CA35" s="177"/>
      <c r="CB35" s="177"/>
      <c r="CC35" s="177"/>
    </row>
    <row r="36" spans="1:81" x14ac:dyDescent="0.2">
      <c r="A36" s="303" t="s">
        <v>418</v>
      </c>
      <c r="B36" s="317">
        <f>B35/5</f>
        <v>0.82</v>
      </c>
      <c r="C36" s="292" t="s">
        <v>1</v>
      </c>
      <c r="D36" s="274">
        <f>B36</f>
        <v>0.82</v>
      </c>
      <c r="E36" s="193" t="s">
        <v>419</v>
      </c>
      <c r="F36" s="271"/>
      <c r="G36" s="271"/>
      <c r="H36" s="175">
        <v>30</v>
      </c>
      <c r="I36" s="466">
        <f t="shared" si="0"/>
        <v>0.24</v>
      </c>
      <c r="J36" s="222"/>
      <c r="K36" s="222"/>
      <c r="L36" s="222"/>
      <c r="M36" s="222"/>
      <c r="N36" s="272"/>
      <c r="O36" s="177"/>
      <c r="P36" s="222"/>
      <c r="Q36" s="452"/>
      <c r="S36" s="273"/>
      <c r="T36" s="273"/>
      <c r="U36" s="273"/>
      <c r="AJ36" s="452"/>
      <c r="AZ36" s="274"/>
      <c r="BJ36" s="224"/>
      <c r="BK36" s="224"/>
      <c r="BL36" s="224"/>
      <c r="BO36" s="177"/>
      <c r="BP36" s="224"/>
      <c r="BQ36" s="275"/>
      <c r="BR36" s="276"/>
      <c r="BS36" s="224"/>
      <c r="BT36" s="277"/>
      <c r="BX36" s="224"/>
      <c r="BY36" s="224"/>
      <c r="BZ36" s="177"/>
      <c r="CA36" s="177"/>
      <c r="CB36" s="177"/>
      <c r="CC36" s="177"/>
    </row>
    <row r="37" spans="1:81" x14ac:dyDescent="0.2">
      <c r="A37" s="303" t="s">
        <v>710</v>
      </c>
      <c r="B37" s="317">
        <f>0.000000375</f>
        <v>3.7500000000000001E-7</v>
      </c>
      <c r="C37" s="292" t="s">
        <v>51</v>
      </c>
      <c r="D37" s="274">
        <f t="shared" ref="D37:D38" si="24">B37</f>
        <v>3.7500000000000001E-7</v>
      </c>
      <c r="E37" s="193" t="s">
        <v>708</v>
      </c>
      <c r="F37" s="271"/>
      <c r="G37" s="271"/>
      <c r="H37" s="175">
        <v>31</v>
      </c>
      <c r="I37" s="466">
        <f t="shared" si="0"/>
        <v>0.248</v>
      </c>
      <c r="J37" s="222"/>
      <c r="K37" s="222"/>
      <c r="L37" s="222"/>
      <c r="M37" s="222"/>
      <c r="N37" s="272"/>
      <c r="O37" s="177"/>
      <c r="P37" s="222"/>
      <c r="Q37" s="452"/>
      <c r="S37" s="273"/>
      <c r="T37" s="273"/>
      <c r="U37" s="273"/>
      <c r="AJ37" s="452"/>
      <c r="AZ37" s="274"/>
      <c r="BJ37" s="224"/>
      <c r="BK37" s="224"/>
      <c r="BL37" s="224"/>
      <c r="BO37" s="177"/>
      <c r="BP37" s="224"/>
      <c r="BQ37" s="275"/>
      <c r="BR37" s="276"/>
      <c r="BS37" s="224"/>
      <c r="BT37" s="277"/>
      <c r="BX37" s="224"/>
      <c r="BY37" s="224"/>
      <c r="BZ37" s="177"/>
      <c r="CA37" s="177"/>
      <c r="CB37" s="177"/>
      <c r="CC37" s="177"/>
    </row>
    <row r="38" spans="1:81" ht="13.5" thickBot="1" x14ac:dyDescent="0.25">
      <c r="A38" s="303" t="s">
        <v>711</v>
      </c>
      <c r="B38" s="663">
        <v>4.2500000000000001E-7</v>
      </c>
      <c r="C38" s="292" t="s">
        <v>51</v>
      </c>
      <c r="D38" s="274">
        <f t="shared" si="24"/>
        <v>4.2500000000000001E-7</v>
      </c>
      <c r="E38" s="193" t="s">
        <v>709</v>
      </c>
      <c r="H38" s="175">
        <v>32</v>
      </c>
      <c r="I38" s="466">
        <f t="shared" ref="I38:I69" si="25">IF(PLOT_TYPE=1, H38/100*Iout_max, min_I*EXP(H38*rr/100))</f>
        <v>0.25600000000000001</v>
      </c>
      <c r="J38" s="222"/>
      <c r="K38" s="222"/>
      <c r="L38" s="222"/>
      <c r="M38" s="222"/>
      <c r="N38" s="272"/>
      <c r="O38" s="177"/>
      <c r="P38" s="222"/>
      <c r="Q38" s="452"/>
      <c r="S38" s="273"/>
      <c r="T38" s="273"/>
      <c r="U38" s="273"/>
      <c r="AJ38" s="452"/>
      <c r="AZ38" s="274"/>
      <c r="BJ38" s="224"/>
      <c r="BK38" s="224"/>
      <c r="BL38" s="224"/>
      <c r="BO38" s="177"/>
      <c r="BP38" s="224"/>
      <c r="BQ38" s="275"/>
      <c r="BR38" s="276"/>
      <c r="BS38" s="224"/>
      <c r="BT38" s="277"/>
      <c r="BX38" s="224"/>
      <c r="BY38" s="224"/>
      <c r="BZ38" s="177"/>
      <c r="CA38" s="177"/>
      <c r="CB38" s="177"/>
      <c r="CC38" s="177"/>
    </row>
    <row r="39" spans="1:81" ht="13.5" thickBot="1" x14ac:dyDescent="0.25">
      <c r="A39" s="318" t="s">
        <v>47</v>
      </c>
      <c r="B39" s="541">
        <v>1</v>
      </c>
      <c r="C39" s="292"/>
      <c r="D39" s="274">
        <f>B39</f>
        <v>1</v>
      </c>
      <c r="E39" s="193" t="s">
        <v>420</v>
      </c>
      <c r="H39" s="175">
        <v>33</v>
      </c>
      <c r="I39" s="466">
        <f t="shared" si="25"/>
        <v>0.26400000000000001</v>
      </c>
      <c r="J39" s="222"/>
      <c r="K39" s="222"/>
      <c r="L39" s="222"/>
      <c r="M39" s="222"/>
      <c r="N39" s="272"/>
      <c r="O39" s="177"/>
      <c r="P39" s="222"/>
      <c r="Q39" s="452"/>
      <c r="S39" s="273"/>
      <c r="T39" s="273"/>
      <c r="U39" s="273"/>
      <c r="AJ39" s="452"/>
      <c r="AZ39" s="274"/>
      <c r="BJ39" s="224"/>
      <c r="BK39" s="224"/>
      <c r="BL39" s="224"/>
      <c r="BO39" s="177"/>
      <c r="BP39" s="224"/>
      <c r="BQ39" s="275"/>
      <c r="BR39" s="276"/>
      <c r="BS39" s="224"/>
      <c r="BT39" s="277"/>
      <c r="BX39" s="224"/>
      <c r="BY39" s="224"/>
      <c r="BZ39" s="177"/>
      <c r="CA39" s="177"/>
      <c r="CB39" s="177"/>
      <c r="CC39" s="177"/>
    </row>
    <row r="40" spans="1:81" x14ac:dyDescent="0.2">
      <c r="A40" s="303" t="s">
        <v>24</v>
      </c>
      <c r="B40" s="319">
        <v>290</v>
      </c>
      <c r="C40" s="292" t="s">
        <v>266</v>
      </c>
      <c r="D40" s="294">
        <f>B40/1000000</f>
        <v>2.9E-4</v>
      </c>
      <c r="E40" s="282" t="s">
        <v>492</v>
      </c>
      <c r="H40" s="175">
        <v>34</v>
      </c>
      <c r="I40" s="466">
        <f t="shared" si="25"/>
        <v>0.27200000000000002</v>
      </c>
      <c r="J40" s="222"/>
      <c r="K40" s="222"/>
      <c r="L40" s="222"/>
      <c r="M40" s="222"/>
      <c r="N40" s="272"/>
      <c r="O40" s="177"/>
      <c r="P40" s="222"/>
      <c r="Q40" s="452"/>
      <c r="S40" s="273"/>
      <c r="T40" s="273"/>
      <c r="U40" s="273"/>
      <c r="AJ40" s="452"/>
      <c r="AZ40" s="274"/>
      <c r="BJ40" s="224"/>
      <c r="BK40" s="224"/>
      <c r="BL40" s="224"/>
      <c r="BO40" s="177"/>
      <c r="BP40" s="224"/>
      <c r="BQ40" s="275"/>
      <c r="BR40" s="276"/>
      <c r="BS40" s="224"/>
      <c r="BT40" s="277"/>
      <c r="BX40" s="224"/>
      <c r="BY40" s="224"/>
      <c r="BZ40" s="177"/>
      <c r="CA40" s="177"/>
      <c r="CB40" s="177"/>
      <c r="CC40" s="177"/>
    </row>
    <row r="41" spans="1:81" ht="13.5" thickBot="1" x14ac:dyDescent="0.25">
      <c r="A41" s="314" t="s">
        <v>402</v>
      </c>
      <c r="B41" s="320"/>
      <c r="C41" s="314" t="s">
        <v>33</v>
      </c>
      <c r="D41" s="315" t="s">
        <v>90</v>
      </c>
      <c r="E41" s="321" t="s">
        <v>41</v>
      </c>
      <c r="H41" s="175">
        <v>35</v>
      </c>
      <c r="I41" s="466">
        <f t="shared" si="25"/>
        <v>0.27999999999999997</v>
      </c>
      <c r="J41" s="222"/>
      <c r="K41" s="222"/>
      <c r="L41" s="222"/>
      <c r="M41" s="222"/>
      <c r="N41" s="272"/>
      <c r="O41" s="177"/>
      <c r="P41" s="222"/>
      <c r="Q41" s="452"/>
      <c r="S41" s="273"/>
      <c r="T41" s="273"/>
      <c r="U41" s="273"/>
      <c r="AJ41" s="452"/>
      <c r="AZ41" s="274"/>
      <c r="BJ41" s="224"/>
      <c r="BK41" s="224"/>
      <c r="BL41" s="224"/>
      <c r="BO41" s="177"/>
      <c r="BP41" s="224"/>
      <c r="BQ41" s="275"/>
      <c r="BR41" s="276"/>
      <c r="BS41" s="224"/>
      <c r="BT41" s="277"/>
      <c r="BX41" s="224"/>
      <c r="BY41" s="224"/>
      <c r="BZ41" s="177"/>
      <c r="CA41" s="177"/>
      <c r="CB41" s="177"/>
      <c r="CC41" s="177"/>
    </row>
    <row r="42" spans="1:81" ht="13.5" thickBot="1" x14ac:dyDescent="0.25">
      <c r="A42" s="322" t="s">
        <v>403</v>
      </c>
      <c r="B42" s="323">
        <v>110</v>
      </c>
      <c r="C42" s="283" t="s">
        <v>259</v>
      </c>
      <c r="D42" s="176">
        <f>B42/1000</f>
        <v>0.11</v>
      </c>
      <c r="E42" s="282" t="s">
        <v>407</v>
      </c>
      <c r="H42" s="175">
        <v>36</v>
      </c>
      <c r="I42" s="466">
        <f t="shared" si="25"/>
        <v>0.28799999999999998</v>
      </c>
      <c r="J42" s="222"/>
      <c r="K42" s="222"/>
      <c r="L42" s="222"/>
      <c r="M42" s="222"/>
      <c r="N42" s="272"/>
      <c r="O42" s="177"/>
      <c r="P42" s="222"/>
      <c r="Q42" s="452"/>
      <c r="S42" s="273"/>
      <c r="T42" s="273"/>
      <c r="U42" s="273"/>
      <c r="AJ42" s="452"/>
      <c r="AZ42" s="274"/>
      <c r="BJ42" s="224"/>
      <c r="BK42" s="224"/>
      <c r="BL42" s="224"/>
      <c r="BO42" s="177"/>
      <c r="BP42" s="224"/>
      <c r="BQ42" s="275"/>
      <c r="BR42" s="276"/>
      <c r="BS42" s="224"/>
      <c r="BT42" s="277"/>
      <c r="BX42" s="224"/>
      <c r="BY42" s="224"/>
      <c r="BZ42" s="177"/>
      <c r="CA42" s="177"/>
      <c r="CB42" s="177"/>
      <c r="CC42" s="177"/>
    </row>
    <row r="43" spans="1:81" ht="13.5" thickBot="1" x14ac:dyDescent="0.25">
      <c r="A43" s="303" t="s">
        <v>267</v>
      </c>
      <c r="B43" s="324"/>
      <c r="C43" s="325" t="s">
        <v>268</v>
      </c>
      <c r="D43" s="176"/>
      <c r="E43" s="282" t="s">
        <v>267</v>
      </c>
      <c r="H43" s="175">
        <v>37</v>
      </c>
      <c r="I43" s="466">
        <f t="shared" si="25"/>
        <v>0.29599999999999999</v>
      </c>
      <c r="J43" s="222"/>
      <c r="K43" s="222"/>
      <c r="L43" s="222"/>
      <c r="M43" s="222"/>
      <c r="N43" s="272"/>
      <c r="O43" s="177"/>
      <c r="P43" s="222"/>
      <c r="Q43" s="452"/>
      <c r="S43" s="273"/>
      <c r="T43" s="273"/>
      <c r="U43" s="273"/>
      <c r="AJ43" s="452"/>
      <c r="AZ43" s="274"/>
      <c r="BJ43" s="224"/>
      <c r="BK43" s="224"/>
      <c r="BL43" s="224"/>
      <c r="BO43" s="177"/>
      <c r="BP43" s="224"/>
      <c r="BQ43" s="275"/>
      <c r="BR43" s="276"/>
      <c r="BS43" s="224"/>
      <c r="BT43" s="277"/>
      <c r="BX43" s="224"/>
      <c r="BY43" s="224"/>
      <c r="BZ43" s="177"/>
      <c r="CA43" s="177"/>
      <c r="CB43" s="177"/>
      <c r="CC43" s="177"/>
    </row>
    <row r="44" spans="1:81" ht="13.5" thickBot="1" x14ac:dyDescent="0.25">
      <c r="A44" s="303" t="s">
        <v>404</v>
      </c>
      <c r="B44" s="323">
        <v>10</v>
      </c>
      <c r="C44" s="292" t="s">
        <v>31</v>
      </c>
      <c r="D44" s="176">
        <f>B44/1000000000</f>
        <v>1E-8</v>
      </c>
      <c r="E44" s="282" t="s">
        <v>406</v>
      </c>
      <c r="H44" s="175">
        <v>38</v>
      </c>
      <c r="I44" s="466">
        <f t="shared" si="25"/>
        <v>0.30400000000000005</v>
      </c>
      <c r="J44" s="222"/>
      <c r="K44" s="222"/>
      <c r="L44" s="222"/>
      <c r="M44" s="222"/>
      <c r="N44" s="272"/>
      <c r="O44" s="177"/>
      <c r="P44" s="222"/>
      <c r="Q44" s="452"/>
      <c r="S44" s="273"/>
      <c r="T44" s="273"/>
      <c r="U44" s="273"/>
      <c r="AJ44" s="452"/>
      <c r="AZ44" s="274"/>
      <c r="BJ44" s="224"/>
      <c r="BK44" s="224"/>
      <c r="BL44" s="224"/>
      <c r="BO44" s="177"/>
      <c r="BP44" s="224"/>
      <c r="BQ44" s="275"/>
      <c r="BR44" s="276"/>
      <c r="BS44" s="224"/>
      <c r="BT44" s="277"/>
      <c r="BX44" s="224"/>
      <c r="BY44" s="224"/>
      <c r="BZ44" s="177"/>
      <c r="CA44" s="177"/>
      <c r="CB44" s="177"/>
      <c r="CC44" s="177"/>
    </row>
    <row r="45" spans="1:81" ht="13.5" thickBot="1" x14ac:dyDescent="0.25">
      <c r="A45" s="306" t="s">
        <v>241</v>
      </c>
      <c r="B45" s="323">
        <v>200</v>
      </c>
      <c r="C45" s="292" t="s">
        <v>15</v>
      </c>
      <c r="D45" s="326">
        <f>B45/1000000000000</f>
        <v>2.0000000000000001E-10</v>
      </c>
      <c r="E45" s="282" t="s">
        <v>330</v>
      </c>
      <c r="H45" s="175">
        <v>39</v>
      </c>
      <c r="I45" s="466">
        <f t="shared" si="25"/>
        <v>0.31200000000000006</v>
      </c>
      <c r="J45" s="222"/>
      <c r="K45" s="222"/>
      <c r="L45" s="222"/>
      <c r="M45" s="222"/>
      <c r="N45" s="272"/>
      <c r="O45" s="177"/>
      <c r="P45" s="222"/>
      <c r="Q45" s="452"/>
      <c r="S45" s="273"/>
      <c r="T45" s="273"/>
      <c r="U45" s="273"/>
      <c r="AJ45" s="452"/>
      <c r="AZ45" s="274"/>
      <c r="BJ45" s="224"/>
      <c r="BK45" s="224"/>
      <c r="BL45" s="224"/>
      <c r="BO45" s="177"/>
      <c r="BP45" s="224"/>
      <c r="BQ45" s="275"/>
      <c r="BR45" s="276"/>
      <c r="BS45" s="224"/>
      <c r="BT45" s="277"/>
      <c r="BX45" s="224"/>
      <c r="BY45" s="224"/>
      <c r="BZ45" s="177"/>
      <c r="CA45" s="177"/>
      <c r="CB45" s="177"/>
      <c r="CC45" s="177"/>
    </row>
    <row r="46" spans="1:81" x14ac:dyDescent="0.2">
      <c r="A46" s="329" t="s">
        <v>329</v>
      </c>
      <c r="B46" s="323">
        <v>250</v>
      </c>
      <c r="C46" s="292" t="s">
        <v>15</v>
      </c>
      <c r="D46" s="294">
        <f>B46/1000000000000</f>
        <v>2.5000000000000002E-10</v>
      </c>
      <c r="E46" s="282" t="s">
        <v>483</v>
      </c>
      <c r="H46" s="175">
        <v>40</v>
      </c>
      <c r="I46" s="466">
        <f t="shared" si="25"/>
        <v>0.32000000000000006</v>
      </c>
      <c r="J46" s="222"/>
      <c r="K46" s="222"/>
      <c r="L46" s="222"/>
      <c r="M46" s="222"/>
      <c r="N46" s="272"/>
      <c r="O46" s="177"/>
      <c r="P46" s="222"/>
      <c r="Q46" s="452"/>
      <c r="S46" s="273"/>
      <c r="T46" s="273"/>
      <c r="U46" s="273"/>
      <c r="AJ46" s="452"/>
      <c r="AZ46" s="274"/>
      <c r="BJ46" s="224"/>
      <c r="BK46" s="224"/>
      <c r="BL46" s="224"/>
      <c r="BO46" s="177"/>
      <c r="BP46" s="224"/>
      <c r="BQ46" s="275"/>
      <c r="BR46" s="276"/>
      <c r="BS46" s="224"/>
      <c r="BT46" s="277"/>
      <c r="BX46" s="224"/>
      <c r="BY46" s="224"/>
      <c r="BZ46" s="177"/>
      <c r="CA46" s="177"/>
      <c r="CB46" s="177"/>
      <c r="CC46" s="177"/>
    </row>
    <row r="47" spans="1:81" ht="13.5" thickBot="1" x14ac:dyDescent="0.25">
      <c r="A47" s="314" t="s">
        <v>408</v>
      </c>
      <c r="B47" s="327"/>
      <c r="C47" s="314" t="s">
        <v>33</v>
      </c>
      <c r="D47" s="315" t="s">
        <v>90</v>
      </c>
      <c r="E47" s="328" t="s">
        <v>41</v>
      </c>
      <c r="H47" s="175">
        <v>41</v>
      </c>
      <c r="I47" s="466">
        <f t="shared" si="25"/>
        <v>0.32800000000000001</v>
      </c>
      <c r="J47" s="222"/>
      <c r="K47" s="222"/>
      <c r="L47" s="222"/>
      <c r="M47" s="222"/>
      <c r="N47" s="272"/>
      <c r="O47" s="177"/>
      <c r="P47" s="222"/>
      <c r="Q47" s="452"/>
      <c r="S47" s="273"/>
      <c r="T47" s="273"/>
      <c r="U47" s="273"/>
      <c r="AJ47" s="452"/>
      <c r="AZ47" s="274"/>
      <c r="BJ47" s="224"/>
      <c r="BK47" s="224"/>
      <c r="BL47" s="224"/>
      <c r="BO47" s="177"/>
      <c r="BP47" s="224"/>
      <c r="BQ47" s="275"/>
      <c r="BR47" s="276"/>
      <c r="BS47" s="224"/>
      <c r="BT47" s="277"/>
      <c r="BX47" s="224"/>
      <c r="BY47" s="224"/>
      <c r="BZ47" s="177"/>
      <c r="CA47" s="177"/>
      <c r="CB47" s="177"/>
      <c r="CC47" s="177"/>
    </row>
    <row r="48" spans="1:81" ht="13.5" thickBot="1" x14ac:dyDescent="0.25">
      <c r="A48" s="322" t="s">
        <v>665</v>
      </c>
      <c r="B48" s="323">
        <f>'Design PSR Flyback Converter'!E41</f>
        <v>0.25</v>
      </c>
      <c r="C48" s="280" t="s">
        <v>0</v>
      </c>
      <c r="D48" s="176">
        <f>B48</f>
        <v>0.25</v>
      </c>
      <c r="E48" s="282" t="s">
        <v>664</v>
      </c>
      <c r="H48" s="175">
        <v>42</v>
      </c>
      <c r="I48" s="466">
        <f t="shared" si="25"/>
        <v>0.33600000000000002</v>
      </c>
      <c r="J48" s="222"/>
      <c r="K48" s="222"/>
      <c r="L48" s="222"/>
      <c r="M48" s="222"/>
      <c r="N48" s="272"/>
      <c r="O48" s="177"/>
      <c r="P48" s="222"/>
      <c r="Q48" s="452"/>
      <c r="S48" s="273"/>
      <c r="T48" s="273"/>
      <c r="U48" s="273"/>
      <c r="AJ48" s="452"/>
      <c r="AZ48" s="274"/>
      <c r="BJ48" s="224"/>
      <c r="BK48" s="224"/>
      <c r="BL48" s="224"/>
      <c r="BO48" s="177"/>
      <c r="BP48" s="224"/>
      <c r="BQ48" s="275"/>
      <c r="BR48" s="276"/>
      <c r="BS48" s="224"/>
      <c r="BT48" s="277"/>
      <c r="BX48" s="224"/>
      <c r="BY48" s="224"/>
      <c r="BZ48" s="177"/>
      <c r="CA48" s="177"/>
      <c r="CB48" s="177"/>
      <c r="CC48" s="177"/>
    </row>
    <row r="49" spans="1:81" ht="13.5" thickBot="1" x14ac:dyDescent="0.25">
      <c r="A49" s="322" t="s">
        <v>666</v>
      </c>
      <c r="B49" s="323">
        <f>'Design PSR Flyback Converter'!E42</f>
        <v>0.4</v>
      </c>
      <c r="C49" s="280" t="s">
        <v>0</v>
      </c>
      <c r="D49" s="176">
        <f>B49</f>
        <v>0.4</v>
      </c>
      <c r="E49" s="282" t="s">
        <v>663</v>
      </c>
      <c r="H49" s="175">
        <v>43</v>
      </c>
      <c r="I49" s="466">
        <f t="shared" si="25"/>
        <v>0.34400000000000003</v>
      </c>
      <c r="J49" s="222"/>
      <c r="K49" s="222"/>
      <c r="L49" s="222"/>
      <c r="M49" s="222"/>
      <c r="N49" s="272"/>
      <c r="O49" s="177"/>
      <c r="P49" s="222"/>
      <c r="Q49" s="452"/>
      <c r="S49" s="273"/>
      <c r="T49" s="273"/>
      <c r="U49" s="273"/>
      <c r="AJ49" s="452"/>
      <c r="AZ49" s="274"/>
      <c r="BJ49" s="224"/>
      <c r="BK49" s="224"/>
      <c r="BL49" s="224"/>
      <c r="BO49" s="177"/>
      <c r="BP49" s="224"/>
      <c r="BQ49" s="275"/>
      <c r="BR49" s="276"/>
      <c r="BS49" s="224"/>
      <c r="BT49" s="277"/>
      <c r="BX49" s="224"/>
      <c r="BY49" s="224"/>
      <c r="BZ49" s="177"/>
      <c r="CA49" s="177"/>
      <c r="CB49" s="177"/>
      <c r="CC49" s="177"/>
    </row>
    <row r="50" spans="1:81" ht="13.5" thickBot="1" x14ac:dyDescent="0.25">
      <c r="A50" s="322" t="s">
        <v>269</v>
      </c>
      <c r="B50" s="323">
        <v>100</v>
      </c>
      <c r="C50" s="283" t="s">
        <v>259</v>
      </c>
      <c r="D50" s="176">
        <f>B50*0.001</f>
        <v>0.1</v>
      </c>
      <c r="E50" s="282" t="s">
        <v>270</v>
      </c>
      <c r="H50" s="175">
        <v>44</v>
      </c>
      <c r="I50" s="466">
        <f t="shared" si="25"/>
        <v>0.35200000000000004</v>
      </c>
      <c r="J50" s="222"/>
      <c r="K50" s="222"/>
      <c r="L50" s="222"/>
      <c r="M50" s="222"/>
      <c r="N50" s="272"/>
      <c r="O50" s="177"/>
      <c r="P50" s="222"/>
      <c r="Q50" s="452"/>
      <c r="S50" s="273"/>
      <c r="T50" s="273"/>
      <c r="U50" s="273"/>
      <c r="AJ50" s="452"/>
      <c r="AZ50" s="274"/>
      <c r="BJ50" s="224"/>
      <c r="BK50" s="224"/>
      <c r="BL50" s="224"/>
      <c r="BO50" s="177"/>
      <c r="BP50" s="224"/>
      <c r="BQ50" s="275"/>
      <c r="BR50" s="276"/>
      <c r="BS50" s="224"/>
      <c r="BT50" s="277"/>
      <c r="BX50" s="224"/>
      <c r="BY50" s="224"/>
      <c r="BZ50" s="177"/>
      <c r="CA50" s="177"/>
      <c r="CB50" s="177"/>
      <c r="CC50" s="177"/>
    </row>
    <row r="51" spans="1:81" ht="13.5" thickBot="1" x14ac:dyDescent="0.25">
      <c r="A51" s="303" t="s">
        <v>411</v>
      </c>
      <c r="B51" s="323">
        <v>2</v>
      </c>
      <c r="C51" s="292" t="s">
        <v>31</v>
      </c>
      <c r="D51" s="294">
        <f>B51*0.000000001</f>
        <v>2.0000000000000001E-9</v>
      </c>
      <c r="E51" s="282" t="s">
        <v>271</v>
      </c>
      <c r="H51" s="175">
        <v>45</v>
      </c>
      <c r="I51" s="466">
        <f t="shared" si="25"/>
        <v>0.36000000000000004</v>
      </c>
      <c r="J51" s="222"/>
      <c r="K51" s="222"/>
      <c r="L51" s="222"/>
      <c r="M51" s="222"/>
      <c r="N51" s="272"/>
      <c r="O51" s="177"/>
      <c r="P51" s="222"/>
      <c r="Q51" s="452"/>
      <c r="S51" s="273"/>
      <c r="T51" s="273"/>
      <c r="U51" s="273"/>
      <c r="AJ51" s="452"/>
      <c r="AZ51" s="274"/>
      <c r="BJ51" s="224"/>
      <c r="BK51" s="224"/>
      <c r="BL51" s="224"/>
      <c r="BO51" s="177"/>
      <c r="BP51" s="224"/>
      <c r="BQ51" s="275"/>
      <c r="BR51" s="276"/>
      <c r="BS51" s="224"/>
      <c r="BT51" s="277"/>
      <c r="BX51" s="224"/>
      <c r="BY51" s="224"/>
      <c r="BZ51" s="177"/>
      <c r="CA51" s="177"/>
      <c r="CB51" s="177"/>
      <c r="CC51" s="177"/>
    </row>
    <row r="52" spans="1:81" ht="13.5" thickBot="1" x14ac:dyDescent="0.25">
      <c r="A52" s="303" t="s">
        <v>412</v>
      </c>
      <c r="B52" s="323">
        <v>10</v>
      </c>
      <c r="C52" s="292" t="s">
        <v>32</v>
      </c>
      <c r="D52" s="294">
        <f>B52*0.000000001</f>
        <v>1E-8</v>
      </c>
      <c r="E52" s="282" t="s">
        <v>272</v>
      </c>
      <c r="H52" s="175">
        <v>46</v>
      </c>
      <c r="I52" s="466">
        <f t="shared" si="25"/>
        <v>0.36800000000000005</v>
      </c>
      <c r="J52" s="222"/>
      <c r="K52" s="222"/>
      <c r="L52" s="222"/>
      <c r="M52" s="222"/>
      <c r="N52" s="272"/>
      <c r="O52" s="177"/>
      <c r="P52" s="222"/>
      <c r="Q52" s="452"/>
      <c r="S52" s="273"/>
      <c r="T52" s="273"/>
      <c r="U52" s="273"/>
      <c r="AJ52" s="452"/>
      <c r="AZ52" s="274"/>
      <c r="BJ52" s="224"/>
      <c r="BK52" s="224"/>
      <c r="BL52" s="224"/>
      <c r="BO52" s="177"/>
      <c r="BP52" s="224"/>
      <c r="BQ52" s="275"/>
      <c r="BR52" s="276"/>
      <c r="BS52" s="224"/>
      <c r="BT52" s="277"/>
      <c r="BX52" s="224"/>
      <c r="BY52" s="224"/>
      <c r="BZ52" s="177"/>
      <c r="CA52" s="177"/>
      <c r="CB52" s="177"/>
      <c r="CC52" s="177"/>
    </row>
    <row r="53" spans="1:81" x14ac:dyDescent="0.2">
      <c r="A53" s="329" t="s">
        <v>500</v>
      </c>
      <c r="B53" s="323">
        <v>0</v>
      </c>
      <c r="C53" s="280" t="s">
        <v>273</v>
      </c>
      <c r="D53" s="294">
        <f>B53/1000000</f>
        <v>0</v>
      </c>
      <c r="E53" s="282" t="s">
        <v>274</v>
      </c>
      <c r="H53" s="175">
        <v>47</v>
      </c>
      <c r="I53" s="466">
        <f t="shared" si="25"/>
        <v>0.376</v>
      </c>
      <c r="J53" s="222"/>
      <c r="K53" s="222"/>
      <c r="L53" s="222"/>
      <c r="M53" s="222"/>
      <c r="N53" s="272"/>
      <c r="O53" s="177"/>
      <c r="P53" s="222"/>
      <c r="Q53" s="452"/>
      <c r="S53" s="273"/>
      <c r="T53" s="273"/>
      <c r="U53" s="273"/>
      <c r="AJ53" s="452"/>
      <c r="AZ53" s="274"/>
      <c r="BJ53" s="224"/>
      <c r="BK53" s="224"/>
      <c r="BL53" s="224"/>
      <c r="BO53" s="177"/>
      <c r="BP53" s="224"/>
      <c r="BQ53" s="275"/>
      <c r="BR53" s="276"/>
      <c r="BS53" s="224"/>
      <c r="BT53" s="277"/>
      <c r="BX53" s="224"/>
      <c r="BY53" s="224"/>
      <c r="BZ53" s="177"/>
      <c r="CA53" s="177"/>
      <c r="CB53" s="177"/>
      <c r="CC53" s="177"/>
    </row>
    <row r="54" spans="1:81" x14ac:dyDescent="0.2">
      <c r="A54" s="325"/>
      <c r="H54" s="175">
        <v>48</v>
      </c>
      <c r="I54" s="466">
        <f t="shared" si="25"/>
        <v>0.38400000000000001</v>
      </c>
      <c r="J54" s="222"/>
      <c r="K54" s="222"/>
      <c r="L54" s="222"/>
      <c r="M54" s="222"/>
      <c r="N54" s="272"/>
      <c r="O54" s="177"/>
      <c r="P54" s="222"/>
      <c r="Q54" s="452"/>
      <c r="S54" s="273"/>
      <c r="T54" s="273"/>
      <c r="U54" s="273"/>
      <c r="AJ54" s="452"/>
      <c r="AZ54" s="274"/>
      <c r="BJ54" s="224"/>
      <c r="BK54" s="224"/>
      <c r="BL54" s="224"/>
      <c r="BO54" s="177"/>
      <c r="BP54" s="224"/>
      <c r="BQ54" s="275"/>
      <c r="BR54" s="276"/>
      <c r="BS54" s="224"/>
      <c r="BT54" s="277"/>
      <c r="BX54" s="224"/>
      <c r="BY54" s="224"/>
      <c r="BZ54" s="177"/>
      <c r="CA54" s="177"/>
      <c r="CB54" s="177"/>
      <c r="CC54" s="177"/>
    </row>
    <row r="55" spans="1:81" x14ac:dyDescent="0.2">
      <c r="H55" s="175">
        <v>49</v>
      </c>
      <c r="I55" s="466">
        <f t="shared" si="25"/>
        <v>0.39200000000000002</v>
      </c>
      <c r="J55" s="222"/>
      <c r="K55" s="222"/>
      <c r="L55" s="222"/>
      <c r="M55" s="222"/>
      <c r="N55" s="272"/>
      <c r="O55" s="177"/>
      <c r="P55" s="222"/>
      <c r="Q55" s="452"/>
      <c r="S55" s="273"/>
      <c r="T55" s="273"/>
      <c r="U55" s="273"/>
      <c r="AJ55" s="452"/>
      <c r="AZ55" s="274"/>
      <c r="BJ55" s="224"/>
      <c r="BK55" s="224"/>
      <c r="BL55" s="224"/>
      <c r="BO55" s="177"/>
      <c r="BP55" s="224"/>
      <c r="BQ55" s="275"/>
      <c r="BR55" s="276"/>
      <c r="BS55" s="224"/>
      <c r="BT55" s="277"/>
      <c r="BX55" s="224"/>
      <c r="BY55" s="224"/>
      <c r="BZ55" s="177"/>
      <c r="CA55" s="177"/>
      <c r="CB55" s="177"/>
      <c r="CC55" s="177"/>
    </row>
    <row r="56" spans="1:81" x14ac:dyDescent="0.2">
      <c r="H56" s="175">
        <v>50</v>
      </c>
      <c r="I56" s="466">
        <f t="shared" si="25"/>
        <v>0.4</v>
      </c>
      <c r="J56" s="222"/>
      <c r="K56" s="222"/>
      <c r="L56" s="222"/>
      <c r="M56" s="222"/>
      <c r="N56" s="272"/>
      <c r="O56" s="177"/>
      <c r="P56" s="222"/>
      <c r="Q56" s="452"/>
      <c r="S56" s="273"/>
      <c r="T56" s="273"/>
      <c r="U56" s="273"/>
      <c r="AJ56" s="452"/>
      <c r="AZ56" s="274"/>
      <c r="BJ56" s="224"/>
      <c r="BK56" s="224"/>
      <c r="BL56" s="224"/>
      <c r="BO56" s="177"/>
      <c r="BP56" s="224"/>
      <c r="BQ56" s="275"/>
      <c r="BR56" s="276"/>
      <c r="BS56" s="224"/>
      <c r="BT56" s="277"/>
      <c r="BX56" s="224"/>
      <c r="BY56" s="224"/>
      <c r="BZ56" s="177"/>
      <c r="CA56" s="177"/>
      <c r="CB56" s="177"/>
      <c r="CC56" s="177"/>
    </row>
    <row r="57" spans="1:81" x14ac:dyDescent="0.2">
      <c r="H57" s="175">
        <v>51</v>
      </c>
      <c r="I57" s="466">
        <f t="shared" si="25"/>
        <v>0.40800000000000003</v>
      </c>
      <c r="J57" s="222"/>
      <c r="K57" s="222"/>
      <c r="L57" s="222"/>
      <c r="M57" s="222"/>
      <c r="N57" s="272"/>
      <c r="O57" s="177"/>
      <c r="P57" s="222"/>
      <c r="Q57" s="452"/>
      <c r="S57" s="273"/>
      <c r="T57" s="273"/>
      <c r="U57" s="273"/>
      <c r="AJ57" s="452"/>
      <c r="AZ57" s="274"/>
      <c r="BJ57" s="224"/>
      <c r="BK57" s="224"/>
      <c r="BL57" s="224"/>
      <c r="BO57" s="177"/>
      <c r="BP57" s="224"/>
      <c r="BQ57" s="275"/>
      <c r="BR57" s="276"/>
      <c r="BS57" s="224"/>
      <c r="BT57" s="277"/>
      <c r="BX57" s="224"/>
      <c r="BY57" s="224"/>
      <c r="BZ57" s="177"/>
      <c r="CA57" s="177"/>
      <c r="CB57" s="177"/>
      <c r="CC57" s="177"/>
    </row>
    <row r="58" spans="1:81" x14ac:dyDescent="0.2">
      <c r="A58" s="175">
        <f>Trise*1000000000</f>
        <v>10</v>
      </c>
      <c r="H58" s="175">
        <v>52</v>
      </c>
      <c r="I58" s="466">
        <f t="shared" si="25"/>
        <v>0.41600000000000004</v>
      </c>
      <c r="J58" s="222"/>
      <c r="K58" s="222"/>
      <c r="L58" s="222"/>
      <c r="M58" s="222"/>
      <c r="N58" s="272"/>
      <c r="O58" s="177"/>
      <c r="P58" s="222"/>
      <c r="Q58" s="452"/>
      <c r="S58" s="273"/>
      <c r="T58" s="273"/>
      <c r="U58" s="273"/>
      <c r="AJ58" s="452"/>
      <c r="AZ58" s="274"/>
      <c r="BJ58" s="224"/>
      <c r="BK58" s="224"/>
      <c r="BL58" s="224"/>
      <c r="BO58" s="177"/>
      <c r="BP58" s="224"/>
      <c r="BQ58" s="275"/>
      <c r="BR58" s="276"/>
      <c r="BS58" s="224"/>
      <c r="BT58" s="277"/>
      <c r="BX58" s="224"/>
      <c r="BY58" s="224"/>
      <c r="BZ58" s="177"/>
      <c r="CA58" s="177"/>
      <c r="CB58" s="177"/>
      <c r="CC58" s="177"/>
    </row>
    <row r="59" spans="1:81" x14ac:dyDescent="0.2">
      <c r="H59" s="175">
        <v>53</v>
      </c>
      <c r="I59" s="466">
        <f t="shared" si="25"/>
        <v>0.42400000000000004</v>
      </c>
      <c r="J59" s="222"/>
      <c r="K59" s="222"/>
      <c r="L59" s="222"/>
      <c r="M59" s="222"/>
      <c r="N59" s="272"/>
      <c r="O59" s="177"/>
      <c r="P59" s="222"/>
      <c r="Q59" s="452"/>
      <c r="S59" s="273"/>
      <c r="T59" s="273"/>
      <c r="U59" s="273"/>
      <c r="AJ59" s="452"/>
      <c r="AZ59" s="274"/>
      <c r="BJ59" s="224"/>
      <c r="BK59" s="224"/>
      <c r="BL59" s="224"/>
      <c r="BO59" s="177"/>
      <c r="BP59" s="224"/>
      <c r="BQ59" s="275"/>
      <c r="BR59" s="276"/>
      <c r="BS59" s="224"/>
      <c r="BT59" s="277"/>
      <c r="BX59" s="224"/>
      <c r="BY59" s="224"/>
      <c r="BZ59" s="177"/>
      <c r="CA59" s="177"/>
      <c r="CB59" s="177"/>
      <c r="CC59" s="177"/>
    </row>
    <row r="60" spans="1:81" x14ac:dyDescent="0.2">
      <c r="H60" s="175">
        <v>54</v>
      </c>
      <c r="I60" s="466">
        <f t="shared" si="25"/>
        <v>0.43200000000000005</v>
      </c>
      <c r="J60" s="222"/>
      <c r="K60" s="222"/>
      <c r="L60" s="222"/>
      <c r="M60" s="222"/>
      <c r="N60" s="272"/>
      <c r="O60" s="177"/>
      <c r="P60" s="222"/>
      <c r="Q60" s="452"/>
      <c r="S60" s="273"/>
      <c r="T60" s="273"/>
      <c r="U60" s="273"/>
      <c r="AJ60" s="452"/>
      <c r="AZ60" s="274"/>
      <c r="BJ60" s="224"/>
      <c r="BK60" s="224"/>
      <c r="BL60" s="224"/>
      <c r="BO60" s="177"/>
      <c r="BP60" s="224"/>
      <c r="BQ60" s="275"/>
      <c r="BR60" s="276"/>
      <c r="BS60" s="224"/>
      <c r="BT60" s="277"/>
      <c r="BX60" s="224"/>
      <c r="BY60" s="224"/>
      <c r="BZ60" s="177"/>
      <c r="CA60" s="177"/>
      <c r="CB60" s="177"/>
      <c r="CC60" s="177"/>
    </row>
    <row r="61" spans="1:81" x14ac:dyDescent="0.2">
      <c r="H61" s="175">
        <v>55</v>
      </c>
      <c r="I61" s="466">
        <f t="shared" si="25"/>
        <v>0.44000000000000006</v>
      </c>
      <c r="J61" s="222"/>
      <c r="K61" s="222"/>
      <c r="L61" s="222"/>
      <c r="M61" s="222"/>
      <c r="N61" s="272"/>
      <c r="O61" s="177"/>
      <c r="P61" s="222"/>
      <c r="Q61" s="452"/>
      <c r="S61" s="273"/>
      <c r="T61" s="273"/>
      <c r="U61" s="273"/>
      <c r="AJ61" s="452"/>
      <c r="AZ61" s="274"/>
      <c r="BJ61" s="224"/>
      <c r="BK61" s="224"/>
      <c r="BL61" s="224"/>
      <c r="BO61" s="177"/>
      <c r="BP61" s="224"/>
      <c r="BQ61" s="275"/>
      <c r="BR61" s="276"/>
      <c r="BS61" s="224"/>
      <c r="BT61" s="277"/>
      <c r="BX61" s="224"/>
      <c r="BY61" s="224"/>
      <c r="BZ61" s="177"/>
      <c r="CA61" s="177"/>
      <c r="CB61" s="177"/>
      <c r="CC61" s="177"/>
    </row>
    <row r="62" spans="1:81" x14ac:dyDescent="0.2">
      <c r="H62" s="175">
        <v>56</v>
      </c>
      <c r="I62" s="466">
        <f t="shared" si="25"/>
        <v>0.44800000000000006</v>
      </c>
      <c r="J62" s="222"/>
      <c r="K62" s="222"/>
      <c r="L62" s="222"/>
      <c r="M62" s="222"/>
      <c r="N62" s="272"/>
      <c r="O62" s="177"/>
      <c r="P62" s="222"/>
      <c r="Q62" s="452"/>
      <c r="S62" s="273"/>
      <c r="T62" s="273"/>
      <c r="U62" s="273"/>
      <c r="AJ62" s="452"/>
      <c r="AZ62" s="274"/>
      <c r="BJ62" s="224"/>
      <c r="BK62" s="224"/>
      <c r="BL62" s="224"/>
      <c r="BO62" s="177"/>
      <c r="BP62" s="224"/>
      <c r="BQ62" s="275"/>
      <c r="BR62" s="276"/>
      <c r="BS62" s="224"/>
      <c r="BT62" s="277"/>
      <c r="BX62" s="224"/>
      <c r="BY62" s="224"/>
      <c r="BZ62" s="177"/>
      <c r="CA62" s="177"/>
      <c r="CB62" s="177"/>
      <c r="CC62" s="177"/>
    </row>
    <row r="63" spans="1:81" x14ac:dyDescent="0.2">
      <c r="F63" s="330" t="s">
        <v>275</v>
      </c>
      <c r="G63" s="330" t="s">
        <v>276</v>
      </c>
      <c r="H63" s="175">
        <v>57</v>
      </c>
      <c r="I63" s="466">
        <f t="shared" si="25"/>
        <v>0.45599999999999996</v>
      </c>
      <c r="J63" s="222"/>
      <c r="K63" s="222"/>
      <c r="L63" s="222"/>
      <c r="M63" s="222"/>
      <c r="N63" s="272"/>
      <c r="O63" s="177"/>
      <c r="P63" s="222"/>
      <c r="Q63" s="452"/>
      <c r="S63" s="273"/>
      <c r="T63" s="273"/>
      <c r="U63" s="273"/>
      <c r="AJ63" s="452"/>
      <c r="AZ63" s="274"/>
      <c r="BJ63" s="224"/>
      <c r="BK63" s="224"/>
      <c r="BL63" s="224"/>
      <c r="BO63" s="177"/>
      <c r="BP63" s="224"/>
      <c r="BQ63" s="275"/>
      <c r="BR63" s="276"/>
      <c r="BS63" s="224"/>
      <c r="BT63" s="277"/>
      <c r="BX63" s="224"/>
      <c r="BY63" s="224"/>
      <c r="BZ63" s="177"/>
      <c r="CA63" s="177"/>
      <c r="CB63" s="177"/>
      <c r="CC63" s="177"/>
    </row>
    <row r="64" spans="1:81" x14ac:dyDescent="0.2">
      <c r="F64" s="331">
        <f>BM56</f>
        <v>0</v>
      </c>
      <c r="G64" s="332">
        <f>I56*1000</f>
        <v>400</v>
      </c>
      <c r="H64" s="175">
        <v>58</v>
      </c>
      <c r="I64" s="466">
        <f t="shared" si="25"/>
        <v>0.46399999999999997</v>
      </c>
      <c r="J64" s="222"/>
      <c r="K64" s="222"/>
      <c r="L64" s="222"/>
      <c r="M64" s="222"/>
      <c r="N64" s="272"/>
      <c r="O64" s="177"/>
      <c r="P64" s="222"/>
      <c r="Q64" s="452"/>
      <c r="S64" s="273"/>
      <c r="T64" s="273"/>
      <c r="U64" s="273"/>
      <c r="AJ64" s="452"/>
      <c r="AZ64" s="274"/>
      <c r="BJ64" s="224"/>
      <c r="BK64" s="224"/>
      <c r="BL64" s="224"/>
      <c r="BO64" s="177"/>
      <c r="BP64" s="224"/>
      <c r="BQ64" s="275"/>
      <c r="BR64" s="276"/>
      <c r="BS64" s="224"/>
      <c r="BT64" s="277"/>
      <c r="BX64" s="224"/>
      <c r="BY64" s="224"/>
      <c r="BZ64" s="177"/>
      <c r="CA64" s="177"/>
      <c r="CB64" s="177"/>
      <c r="CC64" s="177"/>
    </row>
    <row r="65" spans="6:81" x14ac:dyDescent="0.2">
      <c r="F65" s="331">
        <f>BM81</f>
        <v>0</v>
      </c>
      <c r="G65" s="332">
        <f>I81*1000</f>
        <v>600.00000000000011</v>
      </c>
      <c r="H65" s="175">
        <v>59</v>
      </c>
      <c r="I65" s="466">
        <f t="shared" si="25"/>
        <v>0.47199999999999998</v>
      </c>
      <c r="J65" s="222"/>
      <c r="K65" s="222"/>
      <c r="L65" s="222"/>
      <c r="M65" s="222"/>
      <c r="N65" s="272"/>
      <c r="O65" s="177"/>
      <c r="P65" s="222"/>
      <c r="Q65" s="452"/>
      <c r="S65" s="273"/>
      <c r="T65" s="273"/>
      <c r="U65" s="273"/>
      <c r="AJ65" s="452"/>
      <c r="AZ65" s="274"/>
      <c r="BJ65" s="224"/>
      <c r="BK65" s="224"/>
      <c r="BL65" s="224"/>
      <c r="BO65" s="177"/>
      <c r="BP65" s="224"/>
      <c r="BQ65" s="275"/>
      <c r="BR65" s="276"/>
      <c r="BS65" s="224"/>
      <c r="BT65" s="277"/>
      <c r="BX65" s="224"/>
      <c r="BY65" s="224"/>
      <c r="BZ65" s="177"/>
      <c r="CA65" s="177"/>
      <c r="CB65" s="177"/>
      <c r="CC65" s="177"/>
    </row>
    <row r="66" spans="6:81" x14ac:dyDescent="0.2">
      <c r="F66" s="331">
        <f>BM106</f>
        <v>100</v>
      </c>
      <c r="G66" s="332">
        <f>I106*1000</f>
        <v>800</v>
      </c>
      <c r="H66" s="175">
        <v>60</v>
      </c>
      <c r="I66" s="466">
        <f t="shared" si="25"/>
        <v>0.48</v>
      </c>
      <c r="J66" s="222"/>
      <c r="K66" s="222"/>
      <c r="L66" s="222"/>
      <c r="M66" s="222"/>
      <c r="N66" s="272"/>
      <c r="O66" s="177"/>
      <c r="P66" s="222"/>
      <c r="Q66" s="452"/>
      <c r="S66" s="273"/>
      <c r="T66" s="273"/>
      <c r="U66" s="273"/>
      <c r="AJ66" s="452"/>
      <c r="AZ66" s="274"/>
      <c r="BJ66" s="224"/>
      <c r="BK66" s="224"/>
      <c r="BL66" s="224"/>
      <c r="BO66" s="177"/>
      <c r="BP66" s="224"/>
      <c r="BQ66" s="275"/>
      <c r="BR66" s="276"/>
      <c r="BS66" s="224"/>
      <c r="BT66" s="277"/>
      <c r="BX66" s="224"/>
      <c r="BY66" s="224"/>
      <c r="BZ66" s="177"/>
      <c r="CA66" s="177"/>
      <c r="CB66" s="177"/>
      <c r="CC66" s="177"/>
    </row>
    <row r="67" spans="6:81" x14ac:dyDescent="0.2">
      <c r="H67" s="175">
        <v>61</v>
      </c>
      <c r="I67" s="466">
        <f t="shared" si="25"/>
        <v>0.48799999999999999</v>
      </c>
      <c r="J67" s="222"/>
      <c r="K67" s="222"/>
      <c r="L67" s="222"/>
      <c r="M67" s="222"/>
      <c r="N67" s="272"/>
      <c r="O67" s="177"/>
      <c r="P67" s="222"/>
      <c r="Q67" s="452"/>
      <c r="S67" s="273"/>
      <c r="T67" s="273"/>
      <c r="U67" s="273"/>
      <c r="AJ67" s="452"/>
      <c r="AZ67" s="274"/>
      <c r="BJ67" s="224"/>
      <c r="BK67" s="224"/>
      <c r="BL67" s="224"/>
      <c r="BO67" s="177"/>
      <c r="BP67" s="224"/>
      <c r="BQ67" s="275"/>
      <c r="BR67" s="276"/>
      <c r="BS67" s="224"/>
      <c r="BT67" s="277"/>
      <c r="BX67" s="224"/>
      <c r="BY67" s="224"/>
      <c r="BZ67" s="177"/>
      <c r="CA67" s="177"/>
      <c r="CB67" s="177"/>
      <c r="CC67" s="177"/>
    </row>
    <row r="68" spans="6:81" x14ac:dyDescent="0.2">
      <c r="H68" s="175">
        <v>62</v>
      </c>
      <c r="I68" s="466">
        <f t="shared" si="25"/>
        <v>0.496</v>
      </c>
      <c r="J68" s="222"/>
      <c r="K68" s="222"/>
      <c r="L68" s="222"/>
      <c r="M68" s="222"/>
      <c r="N68" s="272"/>
      <c r="O68" s="177"/>
      <c r="P68" s="222"/>
      <c r="Q68" s="452"/>
      <c r="S68" s="273"/>
      <c r="T68" s="273"/>
      <c r="U68" s="273"/>
      <c r="AJ68" s="452"/>
      <c r="AZ68" s="274"/>
      <c r="BJ68" s="224"/>
      <c r="BK68" s="224"/>
      <c r="BL68" s="224"/>
      <c r="BO68" s="177"/>
      <c r="BP68" s="224"/>
      <c r="BQ68" s="275"/>
      <c r="BR68" s="276"/>
      <c r="BS68" s="224"/>
      <c r="BT68" s="277"/>
      <c r="BX68" s="224"/>
      <c r="BY68" s="224"/>
      <c r="BZ68" s="177"/>
      <c r="CA68" s="177"/>
      <c r="CB68" s="177"/>
      <c r="CC68" s="177"/>
    </row>
    <row r="69" spans="6:81" x14ac:dyDescent="0.2">
      <c r="H69" s="175">
        <v>63</v>
      </c>
      <c r="I69" s="466">
        <f t="shared" si="25"/>
        <v>0.504</v>
      </c>
      <c r="J69" s="222"/>
      <c r="K69" s="222"/>
      <c r="L69" s="222"/>
      <c r="M69" s="222"/>
      <c r="N69" s="272"/>
      <c r="O69" s="177"/>
      <c r="P69" s="222"/>
      <c r="Q69" s="452"/>
      <c r="S69" s="273"/>
      <c r="T69" s="273"/>
      <c r="U69" s="273"/>
      <c r="AJ69" s="452"/>
      <c r="AZ69" s="274"/>
      <c r="BJ69" s="224"/>
      <c r="BK69" s="224"/>
      <c r="BL69" s="224"/>
      <c r="BO69" s="177"/>
      <c r="BP69" s="224"/>
      <c r="BQ69" s="275"/>
      <c r="BR69" s="276"/>
      <c r="BS69" s="224"/>
      <c r="BT69" s="277"/>
      <c r="BX69" s="224"/>
      <c r="BY69" s="224"/>
      <c r="BZ69" s="177"/>
      <c r="CA69" s="177"/>
      <c r="CB69" s="177"/>
      <c r="CC69" s="177"/>
    </row>
    <row r="70" spans="6:81" x14ac:dyDescent="0.2">
      <c r="H70" s="175">
        <v>64</v>
      </c>
      <c r="I70" s="466">
        <f t="shared" ref="I70:I101" si="26">IF(PLOT_TYPE=1, H70/100*Iout_max, min_I*EXP(H70*rr/100))</f>
        <v>0.51200000000000001</v>
      </c>
      <c r="J70" s="222"/>
      <c r="K70" s="222"/>
      <c r="L70" s="222"/>
      <c r="M70" s="222"/>
      <c r="N70" s="272"/>
      <c r="O70" s="177"/>
      <c r="P70" s="222"/>
      <c r="Q70" s="452"/>
      <c r="S70" s="273"/>
      <c r="T70" s="273"/>
      <c r="U70" s="273"/>
      <c r="AJ70" s="452"/>
      <c r="AZ70" s="274"/>
      <c r="BJ70" s="224"/>
      <c r="BK70" s="224"/>
      <c r="BL70" s="224"/>
      <c r="BO70" s="177"/>
      <c r="BP70" s="224"/>
      <c r="BQ70" s="275"/>
      <c r="BR70" s="276"/>
      <c r="BS70" s="224"/>
      <c r="BT70" s="277"/>
      <c r="BX70" s="224"/>
      <c r="BY70" s="224"/>
      <c r="BZ70" s="177"/>
      <c r="CA70" s="177"/>
      <c r="CB70" s="177"/>
      <c r="CC70" s="177"/>
    </row>
    <row r="71" spans="6:81" x14ac:dyDescent="0.2">
      <c r="H71" s="175">
        <v>65</v>
      </c>
      <c r="I71" s="466">
        <f t="shared" si="26"/>
        <v>0.52</v>
      </c>
      <c r="J71" s="222"/>
      <c r="K71" s="222"/>
      <c r="L71" s="222"/>
      <c r="M71" s="222"/>
      <c r="N71" s="272"/>
      <c r="O71" s="177"/>
      <c r="P71" s="222"/>
      <c r="Q71" s="452"/>
      <c r="S71" s="273"/>
      <c r="T71" s="273"/>
      <c r="U71" s="273"/>
      <c r="AJ71" s="452"/>
      <c r="AZ71" s="274"/>
      <c r="BJ71" s="224"/>
      <c r="BK71" s="224"/>
      <c r="BL71" s="224"/>
      <c r="BO71" s="177"/>
      <c r="BP71" s="224"/>
      <c r="BQ71" s="275"/>
      <c r="BR71" s="276"/>
      <c r="BS71" s="224"/>
      <c r="BT71" s="277"/>
      <c r="BX71" s="224"/>
      <c r="BY71" s="224"/>
      <c r="BZ71" s="177"/>
      <c r="CA71" s="177"/>
      <c r="CB71" s="177"/>
      <c r="CC71" s="177"/>
    </row>
    <row r="72" spans="6:81" x14ac:dyDescent="0.2">
      <c r="H72" s="175">
        <v>66</v>
      </c>
      <c r="I72" s="466">
        <f t="shared" si="26"/>
        <v>0.52800000000000002</v>
      </c>
      <c r="J72" s="222"/>
      <c r="K72" s="222"/>
      <c r="L72" s="222"/>
      <c r="M72" s="222"/>
      <c r="N72" s="272"/>
      <c r="O72" s="177"/>
      <c r="P72" s="222"/>
      <c r="Q72" s="452"/>
      <c r="S72" s="273"/>
      <c r="T72" s="273"/>
      <c r="U72" s="273"/>
      <c r="AJ72" s="452"/>
      <c r="AZ72" s="274"/>
      <c r="BJ72" s="224"/>
      <c r="BK72" s="224"/>
      <c r="BL72" s="224"/>
      <c r="BO72" s="177"/>
      <c r="BP72" s="224"/>
      <c r="BQ72" s="275"/>
      <c r="BR72" s="276"/>
      <c r="BS72" s="224"/>
      <c r="BT72" s="277"/>
      <c r="BX72" s="224"/>
      <c r="BY72" s="224"/>
      <c r="BZ72" s="177"/>
      <c r="CA72" s="177"/>
      <c r="CB72" s="177"/>
      <c r="CC72" s="177"/>
    </row>
    <row r="73" spans="6:81" x14ac:dyDescent="0.2">
      <c r="H73" s="175">
        <v>67</v>
      </c>
      <c r="I73" s="466">
        <f t="shared" si="26"/>
        <v>0.53600000000000003</v>
      </c>
      <c r="J73" s="222"/>
      <c r="K73" s="222"/>
      <c r="L73" s="222"/>
      <c r="M73" s="222"/>
      <c r="N73" s="272"/>
      <c r="O73" s="177"/>
      <c r="P73" s="222"/>
      <c r="Q73" s="452"/>
      <c r="S73" s="273"/>
      <c r="T73" s="273"/>
      <c r="U73" s="273"/>
      <c r="AJ73" s="452"/>
      <c r="AZ73" s="274"/>
      <c r="BJ73" s="224"/>
      <c r="BK73" s="224"/>
      <c r="BL73" s="224"/>
      <c r="BO73" s="177"/>
      <c r="BP73" s="224"/>
      <c r="BQ73" s="275"/>
      <c r="BR73" s="276"/>
      <c r="BS73" s="224"/>
      <c r="BT73" s="277"/>
      <c r="BX73" s="224"/>
      <c r="BY73" s="224"/>
      <c r="BZ73" s="177"/>
      <c r="CA73" s="177"/>
      <c r="CB73" s="177"/>
      <c r="CC73" s="177"/>
    </row>
    <row r="74" spans="6:81" x14ac:dyDescent="0.2">
      <c r="H74" s="175">
        <v>68</v>
      </c>
      <c r="I74" s="466">
        <f t="shared" si="26"/>
        <v>0.54400000000000004</v>
      </c>
      <c r="J74" s="222"/>
      <c r="K74" s="222"/>
      <c r="L74" s="222"/>
      <c r="M74" s="222"/>
      <c r="N74" s="272"/>
      <c r="O74" s="177"/>
      <c r="P74" s="222"/>
      <c r="Q74" s="452"/>
      <c r="S74" s="273"/>
      <c r="T74" s="273"/>
      <c r="U74" s="273"/>
      <c r="AJ74" s="452"/>
      <c r="AZ74" s="274"/>
      <c r="BJ74" s="224"/>
      <c r="BK74" s="224"/>
      <c r="BL74" s="224"/>
      <c r="BO74" s="177"/>
      <c r="BP74" s="224"/>
      <c r="BQ74" s="275"/>
      <c r="BR74" s="276"/>
      <c r="BS74" s="224"/>
      <c r="BT74" s="277"/>
      <c r="BX74" s="224"/>
      <c r="BY74" s="224"/>
      <c r="BZ74" s="177"/>
      <c r="CA74" s="177"/>
      <c r="CB74" s="177"/>
      <c r="CC74" s="177"/>
    </row>
    <row r="75" spans="6:81" x14ac:dyDescent="0.2">
      <c r="H75" s="175">
        <v>69</v>
      </c>
      <c r="I75" s="466">
        <f t="shared" si="26"/>
        <v>0.55199999999999994</v>
      </c>
      <c r="J75" s="222"/>
      <c r="K75" s="222"/>
      <c r="L75" s="222"/>
      <c r="M75" s="222"/>
      <c r="N75" s="272"/>
      <c r="O75" s="177"/>
      <c r="P75" s="222"/>
      <c r="Q75" s="452"/>
      <c r="S75" s="273"/>
      <c r="T75" s="273"/>
      <c r="U75" s="273"/>
      <c r="AJ75" s="452"/>
      <c r="AZ75" s="274"/>
      <c r="BJ75" s="224"/>
      <c r="BK75" s="224"/>
      <c r="BL75" s="224"/>
      <c r="BO75" s="177"/>
      <c r="BP75" s="224"/>
      <c r="BQ75" s="275"/>
      <c r="BR75" s="276"/>
      <c r="BS75" s="224"/>
      <c r="BT75" s="277"/>
      <c r="BX75" s="224"/>
      <c r="BY75" s="224"/>
      <c r="BZ75" s="177"/>
      <c r="CA75" s="177"/>
      <c r="CB75" s="177"/>
      <c r="CC75" s="177"/>
    </row>
    <row r="76" spans="6:81" x14ac:dyDescent="0.2">
      <c r="H76" s="175">
        <v>70</v>
      </c>
      <c r="I76" s="466">
        <f t="shared" si="26"/>
        <v>0.55999999999999994</v>
      </c>
      <c r="J76" s="222"/>
      <c r="K76" s="222"/>
      <c r="L76" s="222"/>
      <c r="M76" s="222"/>
      <c r="N76" s="272"/>
      <c r="O76" s="177"/>
      <c r="P76" s="222"/>
      <c r="Q76" s="452"/>
      <c r="S76" s="273"/>
      <c r="T76" s="273"/>
      <c r="U76" s="273"/>
      <c r="AJ76" s="452"/>
      <c r="AZ76" s="274"/>
      <c r="BJ76" s="224"/>
      <c r="BK76" s="224"/>
      <c r="BL76" s="224"/>
      <c r="BO76" s="177"/>
      <c r="BP76" s="224"/>
      <c r="BQ76" s="275"/>
      <c r="BR76" s="276"/>
      <c r="BS76" s="224"/>
      <c r="BT76" s="277"/>
      <c r="BX76" s="224"/>
      <c r="BY76" s="224"/>
      <c r="BZ76" s="177"/>
      <c r="CA76" s="177"/>
      <c r="CB76" s="177"/>
      <c r="CC76" s="177"/>
    </row>
    <row r="77" spans="6:81" x14ac:dyDescent="0.2">
      <c r="H77" s="175">
        <v>71</v>
      </c>
      <c r="I77" s="466">
        <f t="shared" si="26"/>
        <v>0.56799999999999995</v>
      </c>
      <c r="J77" s="222"/>
      <c r="K77" s="222"/>
      <c r="L77" s="222"/>
      <c r="M77" s="222"/>
      <c r="N77" s="272"/>
      <c r="O77" s="177"/>
      <c r="P77" s="222"/>
      <c r="Q77" s="452"/>
      <c r="S77" s="273"/>
      <c r="T77" s="273"/>
      <c r="U77" s="273"/>
      <c r="AJ77" s="452"/>
      <c r="AZ77" s="274"/>
      <c r="BJ77" s="224"/>
      <c r="BK77" s="224"/>
      <c r="BL77" s="224"/>
      <c r="BO77" s="177"/>
      <c r="BP77" s="224"/>
      <c r="BQ77" s="275"/>
      <c r="BR77" s="276"/>
      <c r="BS77" s="224"/>
      <c r="BT77" s="277"/>
      <c r="BX77" s="224"/>
      <c r="BY77" s="224"/>
      <c r="BZ77" s="177"/>
      <c r="CA77" s="177"/>
      <c r="CB77" s="177"/>
      <c r="CC77" s="177"/>
    </row>
    <row r="78" spans="6:81" x14ac:dyDescent="0.2">
      <c r="H78" s="175">
        <v>72</v>
      </c>
      <c r="I78" s="466">
        <f t="shared" si="26"/>
        <v>0.57599999999999996</v>
      </c>
      <c r="J78" s="222"/>
      <c r="K78" s="222"/>
      <c r="L78" s="222"/>
      <c r="M78" s="222"/>
      <c r="N78" s="272"/>
      <c r="O78" s="177"/>
      <c r="P78" s="222"/>
      <c r="Q78" s="452"/>
      <c r="S78" s="273"/>
      <c r="T78" s="273"/>
      <c r="U78" s="273"/>
      <c r="AJ78" s="452"/>
      <c r="AZ78" s="274"/>
      <c r="BJ78" s="224"/>
      <c r="BK78" s="224"/>
      <c r="BL78" s="224"/>
      <c r="BO78" s="177"/>
      <c r="BP78" s="224"/>
      <c r="BQ78" s="275"/>
      <c r="BR78" s="276"/>
      <c r="BS78" s="224"/>
      <c r="BT78" s="277"/>
      <c r="BX78" s="224"/>
      <c r="BY78" s="224"/>
      <c r="BZ78" s="177"/>
      <c r="CA78" s="177"/>
      <c r="CB78" s="177"/>
      <c r="CC78" s="177"/>
    </row>
    <row r="79" spans="6:81" x14ac:dyDescent="0.2">
      <c r="H79" s="175">
        <v>73</v>
      </c>
      <c r="I79" s="466">
        <f t="shared" si="26"/>
        <v>0.58399999999999996</v>
      </c>
      <c r="J79" s="222"/>
      <c r="K79" s="222"/>
      <c r="L79" s="222"/>
      <c r="M79" s="222"/>
      <c r="N79" s="272"/>
      <c r="O79" s="177"/>
      <c r="P79" s="222"/>
      <c r="Q79" s="452"/>
      <c r="S79" s="273"/>
      <c r="T79" s="273"/>
      <c r="U79" s="273"/>
      <c r="AJ79" s="452"/>
      <c r="AZ79" s="274"/>
      <c r="BJ79" s="224"/>
      <c r="BK79" s="224"/>
      <c r="BL79" s="224"/>
      <c r="BO79" s="177"/>
      <c r="BP79" s="224"/>
      <c r="BQ79" s="275"/>
      <c r="BR79" s="276"/>
      <c r="BS79" s="224"/>
      <c r="BT79" s="277"/>
      <c r="BX79" s="224"/>
      <c r="BY79" s="224"/>
      <c r="BZ79" s="177"/>
      <c r="CA79" s="177"/>
      <c r="CB79" s="177"/>
      <c r="CC79" s="177"/>
    </row>
    <row r="80" spans="6:81" x14ac:dyDescent="0.2">
      <c r="H80" s="175">
        <v>74</v>
      </c>
      <c r="I80" s="466">
        <f t="shared" si="26"/>
        <v>0.59199999999999997</v>
      </c>
      <c r="J80" s="222"/>
      <c r="K80" s="222"/>
      <c r="L80" s="222"/>
      <c r="M80" s="222"/>
      <c r="N80" s="272"/>
      <c r="O80" s="177"/>
      <c r="P80" s="222"/>
      <c r="Q80" s="452"/>
      <c r="S80" s="273"/>
      <c r="T80" s="273"/>
      <c r="U80" s="273"/>
      <c r="AJ80" s="452"/>
      <c r="AZ80" s="274"/>
      <c r="BJ80" s="224"/>
      <c r="BK80" s="224"/>
      <c r="BL80" s="224"/>
      <c r="BO80" s="177"/>
      <c r="BP80" s="224"/>
      <c r="BQ80" s="275"/>
      <c r="BR80" s="276"/>
      <c r="BS80" s="224"/>
      <c r="BT80" s="277"/>
      <c r="BX80" s="224"/>
      <c r="BY80" s="224"/>
      <c r="BZ80" s="177"/>
      <c r="CA80" s="177"/>
      <c r="CB80" s="177"/>
      <c r="CC80" s="177"/>
    </row>
    <row r="81" spans="6:81" x14ac:dyDescent="0.2">
      <c r="H81" s="175">
        <v>75</v>
      </c>
      <c r="I81" s="466">
        <f t="shared" si="26"/>
        <v>0.60000000000000009</v>
      </c>
      <c r="J81" s="222"/>
      <c r="K81" s="222"/>
      <c r="L81" s="222"/>
      <c r="M81" s="222"/>
      <c r="N81" s="272"/>
      <c r="O81" s="177"/>
      <c r="P81" s="222"/>
      <c r="Q81" s="452"/>
      <c r="S81" s="273"/>
      <c r="T81" s="273"/>
      <c r="U81" s="273"/>
      <c r="AJ81" s="452"/>
      <c r="AZ81" s="274"/>
      <c r="BJ81" s="224"/>
      <c r="BK81" s="224"/>
      <c r="BL81" s="224"/>
      <c r="BO81" s="177"/>
      <c r="BP81" s="224"/>
      <c r="BQ81" s="275"/>
      <c r="BR81" s="276"/>
      <c r="BS81" s="224"/>
      <c r="BT81" s="277"/>
      <c r="BX81" s="224"/>
      <c r="BY81" s="224"/>
      <c r="BZ81" s="177"/>
      <c r="CA81" s="177"/>
      <c r="CB81" s="177"/>
      <c r="CC81" s="177"/>
    </row>
    <row r="82" spans="6:81" x14ac:dyDescent="0.2">
      <c r="H82" s="175">
        <v>76</v>
      </c>
      <c r="I82" s="466">
        <f t="shared" si="26"/>
        <v>0.6080000000000001</v>
      </c>
      <c r="J82" s="222"/>
      <c r="K82" s="222"/>
      <c r="L82" s="222"/>
      <c r="M82" s="222"/>
      <c r="N82" s="272"/>
      <c r="O82" s="177"/>
      <c r="P82" s="222"/>
      <c r="Q82" s="452"/>
      <c r="S82" s="273"/>
      <c r="T82" s="273"/>
      <c r="U82" s="273"/>
      <c r="AJ82" s="452"/>
      <c r="AZ82" s="274"/>
      <c r="BJ82" s="224"/>
      <c r="BK82" s="224"/>
      <c r="BL82" s="224"/>
      <c r="BO82" s="177"/>
      <c r="BP82" s="224"/>
      <c r="BQ82" s="275"/>
      <c r="BR82" s="276"/>
      <c r="BS82" s="224"/>
      <c r="BT82" s="277"/>
      <c r="BX82" s="224"/>
      <c r="BY82" s="224"/>
      <c r="BZ82" s="177"/>
      <c r="CA82" s="177"/>
      <c r="CB82" s="177"/>
      <c r="CC82" s="177"/>
    </row>
    <row r="83" spans="6:81" x14ac:dyDescent="0.2">
      <c r="H83" s="175">
        <v>77</v>
      </c>
      <c r="I83" s="466">
        <f t="shared" si="26"/>
        <v>0.6160000000000001</v>
      </c>
      <c r="J83" s="222"/>
      <c r="K83" s="222"/>
      <c r="L83" s="222"/>
      <c r="M83" s="222"/>
      <c r="N83" s="272"/>
      <c r="O83" s="177"/>
      <c r="P83" s="222"/>
      <c r="Q83" s="452"/>
      <c r="S83" s="273"/>
      <c r="T83" s="273"/>
      <c r="U83" s="273"/>
      <c r="AJ83" s="452"/>
      <c r="AZ83" s="274"/>
      <c r="BJ83" s="224"/>
      <c r="BK83" s="224"/>
      <c r="BL83" s="224"/>
      <c r="BO83" s="177"/>
      <c r="BP83" s="224"/>
      <c r="BQ83" s="275"/>
      <c r="BR83" s="276"/>
      <c r="BS83" s="224"/>
      <c r="BT83" s="277"/>
      <c r="BX83" s="224"/>
      <c r="BY83" s="224"/>
      <c r="BZ83" s="177"/>
      <c r="CA83" s="177"/>
      <c r="CB83" s="177"/>
      <c r="CC83" s="177"/>
    </row>
    <row r="84" spans="6:81" x14ac:dyDescent="0.2">
      <c r="H84" s="175">
        <v>78</v>
      </c>
      <c r="I84" s="466">
        <f t="shared" si="26"/>
        <v>0.62400000000000011</v>
      </c>
      <c r="J84" s="222"/>
      <c r="K84" s="222"/>
      <c r="L84" s="222"/>
      <c r="M84" s="222"/>
      <c r="N84" s="272"/>
      <c r="O84" s="177"/>
      <c r="P84" s="222"/>
      <c r="Q84" s="452"/>
      <c r="S84" s="273"/>
      <c r="T84" s="273"/>
      <c r="U84" s="273"/>
      <c r="AJ84" s="452"/>
      <c r="AZ84" s="274"/>
      <c r="BJ84" s="224"/>
      <c r="BK84" s="224"/>
      <c r="BL84" s="224"/>
      <c r="BO84" s="177"/>
      <c r="BP84" s="224"/>
      <c r="BQ84" s="275"/>
      <c r="BR84" s="276"/>
      <c r="BS84" s="224"/>
      <c r="BT84" s="277"/>
      <c r="BX84" s="224"/>
      <c r="BY84" s="224"/>
      <c r="BZ84" s="177"/>
      <c r="CA84" s="177"/>
      <c r="CB84" s="177"/>
      <c r="CC84" s="177"/>
    </row>
    <row r="85" spans="6:81" x14ac:dyDescent="0.2">
      <c r="H85" s="175">
        <v>79</v>
      </c>
      <c r="I85" s="466">
        <f t="shared" si="26"/>
        <v>0.63200000000000012</v>
      </c>
      <c r="J85" s="222"/>
      <c r="K85" s="222"/>
      <c r="L85" s="222"/>
      <c r="M85" s="222"/>
      <c r="N85" s="272"/>
      <c r="O85" s="177"/>
      <c r="P85" s="222"/>
      <c r="Q85" s="452"/>
      <c r="S85" s="273"/>
      <c r="T85" s="273"/>
      <c r="U85" s="273"/>
      <c r="AJ85" s="452"/>
      <c r="AZ85" s="274"/>
      <c r="BJ85" s="224"/>
      <c r="BK85" s="224"/>
      <c r="BL85" s="224"/>
      <c r="BO85" s="177"/>
      <c r="BP85" s="224"/>
      <c r="BQ85" s="275"/>
      <c r="BR85" s="276"/>
      <c r="BS85" s="224"/>
      <c r="BT85" s="277"/>
      <c r="BX85" s="224"/>
      <c r="BY85" s="224"/>
      <c r="BZ85" s="177"/>
      <c r="CA85" s="177"/>
      <c r="CB85" s="177"/>
      <c r="CC85" s="177"/>
    </row>
    <row r="86" spans="6:81" x14ac:dyDescent="0.2">
      <c r="H86" s="175">
        <v>80</v>
      </c>
      <c r="I86" s="466">
        <f t="shared" si="26"/>
        <v>0.64000000000000012</v>
      </c>
      <c r="J86" s="222"/>
      <c r="K86" s="222"/>
      <c r="L86" s="222"/>
      <c r="M86" s="222"/>
      <c r="N86" s="272"/>
      <c r="O86" s="177"/>
      <c r="P86" s="222"/>
      <c r="Q86" s="452"/>
      <c r="S86" s="273"/>
      <c r="T86" s="273"/>
      <c r="U86" s="273"/>
      <c r="AJ86" s="452"/>
      <c r="AZ86" s="274"/>
      <c r="BJ86" s="224"/>
      <c r="BK86" s="224"/>
      <c r="BL86" s="224"/>
      <c r="BO86" s="177"/>
      <c r="BP86" s="224"/>
      <c r="BQ86" s="275"/>
      <c r="BR86" s="276"/>
      <c r="BS86" s="224"/>
      <c r="BT86" s="277"/>
      <c r="BX86" s="224"/>
      <c r="BY86" s="224"/>
      <c r="BZ86" s="177"/>
      <c r="CA86" s="177"/>
      <c r="CB86" s="177"/>
      <c r="CC86" s="177"/>
    </row>
    <row r="87" spans="6:81" x14ac:dyDescent="0.2">
      <c r="H87" s="175">
        <v>81</v>
      </c>
      <c r="I87" s="466">
        <f t="shared" si="26"/>
        <v>0.64800000000000013</v>
      </c>
      <c r="J87" s="222"/>
      <c r="K87" s="222"/>
      <c r="L87" s="222"/>
      <c r="M87" s="222"/>
      <c r="N87" s="272"/>
      <c r="O87" s="177"/>
      <c r="P87" s="222"/>
      <c r="Q87" s="452"/>
      <c r="S87" s="273"/>
      <c r="T87" s="273"/>
      <c r="U87" s="273"/>
      <c r="AJ87" s="452"/>
      <c r="AZ87" s="274"/>
      <c r="BJ87" s="224"/>
      <c r="BK87" s="224"/>
      <c r="BL87" s="224"/>
      <c r="BO87" s="177"/>
      <c r="BP87" s="224"/>
      <c r="BQ87" s="275"/>
      <c r="BR87" s="276"/>
      <c r="BS87" s="224"/>
      <c r="BT87" s="277"/>
      <c r="BX87" s="224"/>
      <c r="BY87" s="224"/>
      <c r="BZ87" s="177"/>
      <c r="CA87" s="177"/>
      <c r="CB87" s="177"/>
      <c r="CC87" s="177"/>
    </row>
    <row r="88" spans="6:81" x14ac:dyDescent="0.2">
      <c r="F88" s="330" t="s">
        <v>275</v>
      </c>
      <c r="G88" s="330" t="s">
        <v>276</v>
      </c>
      <c r="H88" s="175">
        <v>82</v>
      </c>
      <c r="I88" s="466">
        <f t="shared" si="26"/>
        <v>0.65600000000000003</v>
      </c>
      <c r="J88" s="222"/>
      <c r="K88" s="222"/>
      <c r="L88" s="222"/>
      <c r="M88" s="222"/>
      <c r="N88" s="272"/>
      <c r="O88" s="177"/>
      <c r="P88" s="222"/>
      <c r="Q88" s="452"/>
      <c r="S88" s="273"/>
      <c r="T88" s="273"/>
      <c r="U88" s="273"/>
      <c r="AJ88" s="452"/>
      <c r="AZ88" s="274"/>
      <c r="BJ88" s="224"/>
      <c r="BK88" s="224"/>
      <c r="BL88" s="224"/>
      <c r="BO88" s="177"/>
      <c r="BP88" s="224"/>
      <c r="BQ88" s="275"/>
      <c r="BR88" s="276"/>
      <c r="BS88" s="224"/>
      <c r="BT88" s="277"/>
      <c r="BX88" s="224"/>
      <c r="BY88" s="224"/>
      <c r="BZ88" s="177"/>
      <c r="CA88" s="177"/>
      <c r="CB88" s="177"/>
      <c r="CC88" s="177"/>
    </row>
    <row r="89" spans="6:81" x14ac:dyDescent="0.2">
      <c r="F89" s="331">
        <f>BO51</f>
        <v>0</v>
      </c>
      <c r="G89" s="332">
        <f>I56*1000</f>
        <v>400</v>
      </c>
      <c r="H89" s="175">
        <v>83</v>
      </c>
      <c r="I89" s="466">
        <f t="shared" si="26"/>
        <v>0.66400000000000003</v>
      </c>
      <c r="J89" s="222"/>
      <c r="K89" s="222"/>
      <c r="L89" s="222"/>
      <c r="M89" s="222"/>
      <c r="N89" s="272"/>
      <c r="O89" s="177"/>
      <c r="P89" s="222"/>
      <c r="Q89" s="452"/>
      <c r="S89" s="273"/>
      <c r="T89" s="273"/>
      <c r="U89" s="273"/>
      <c r="AJ89" s="452"/>
      <c r="AZ89" s="274"/>
      <c r="BJ89" s="224"/>
      <c r="BK89" s="224"/>
      <c r="BL89" s="224"/>
      <c r="BO89" s="177"/>
      <c r="BP89" s="224"/>
      <c r="BQ89" s="275"/>
      <c r="BR89" s="276"/>
      <c r="BS89" s="224"/>
      <c r="BT89" s="277"/>
      <c r="BX89" s="224"/>
      <c r="BY89" s="224"/>
      <c r="BZ89" s="177"/>
      <c r="CA89" s="177"/>
      <c r="CB89" s="177"/>
      <c r="CC89" s="177"/>
    </row>
    <row r="90" spans="6:81" x14ac:dyDescent="0.2">
      <c r="F90" s="331">
        <f>BO81</f>
        <v>0</v>
      </c>
      <c r="G90" s="332">
        <f>I81*1000</f>
        <v>600.00000000000011</v>
      </c>
      <c r="H90" s="175">
        <v>84</v>
      </c>
      <c r="I90" s="466">
        <f t="shared" si="26"/>
        <v>0.67200000000000004</v>
      </c>
      <c r="J90" s="222"/>
      <c r="K90" s="222"/>
      <c r="L90" s="222"/>
      <c r="M90" s="222"/>
      <c r="N90" s="272"/>
      <c r="O90" s="177"/>
      <c r="P90" s="222"/>
      <c r="Q90" s="452"/>
      <c r="S90" s="273"/>
      <c r="T90" s="273"/>
      <c r="U90" s="273"/>
      <c r="AJ90" s="452"/>
      <c r="AZ90" s="274"/>
      <c r="BJ90" s="224"/>
      <c r="BK90" s="224"/>
      <c r="BL90" s="224"/>
      <c r="BO90" s="177"/>
      <c r="BP90" s="224"/>
      <c r="BQ90" s="275"/>
      <c r="BR90" s="276"/>
      <c r="BS90" s="224"/>
      <c r="BT90" s="277"/>
      <c r="BX90" s="224"/>
      <c r="BY90" s="224"/>
      <c r="BZ90" s="177"/>
      <c r="CA90" s="177"/>
      <c r="CB90" s="177"/>
      <c r="CC90" s="177"/>
    </row>
    <row r="91" spans="6:81" x14ac:dyDescent="0.2">
      <c r="F91" s="331">
        <f>BO106</f>
        <v>88.698181382326453</v>
      </c>
      <c r="G91" s="332">
        <f>I106*1000</f>
        <v>800</v>
      </c>
      <c r="H91" s="175">
        <v>85</v>
      </c>
      <c r="I91" s="466">
        <f t="shared" si="26"/>
        <v>0.68</v>
      </c>
      <c r="J91" s="222"/>
      <c r="K91" s="222"/>
      <c r="L91" s="222"/>
      <c r="M91" s="222"/>
      <c r="N91" s="272"/>
      <c r="O91" s="177"/>
      <c r="P91" s="222"/>
      <c r="Q91" s="452"/>
      <c r="S91" s="273"/>
      <c r="T91" s="273"/>
      <c r="U91" s="273"/>
      <c r="AJ91" s="452"/>
      <c r="AZ91" s="274"/>
      <c r="BJ91" s="224"/>
      <c r="BK91" s="224"/>
      <c r="BL91" s="224"/>
      <c r="BO91" s="177"/>
      <c r="BP91" s="224"/>
      <c r="BQ91" s="275"/>
      <c r="BR91" s="276"/>
      <c r="BS91" s="224"/>
      <c r="BT91" s="277"/>
      <c r="BX91" s="224"/>
      <c r="BY91" s="224"/>
      <c r="BZ91" s="177"/>
      <c r="CA91" s="177"/>
      <c r="CB91" s="177"/>
      <c r="CC91" s="177"/>
    </row>
    <row r="92" spans="6:81" x14ac:dyDescent="0.2">
      <c r="H92" s="175">
        <v>86</v>
      </c>
      <c r="I92" s="466">
        <f t="shared" si="26"/>
        <v>0.68800000000000006</v>
      </c>
      <c r="J92" s="222"/>
      <c r="K92" s="222"/>
      <c r="L92" s="222"/>
      <c r="M92" s="222"/>
      <c r="N92" s="272"/>
      <c r="O92" s="177"/>
      <c r="P92" s="222"/>
      <c r="Q92" s="452"/>
      <c r="S92" s="273"/>
      <c r="T92" s="273"/>
      <c r="U92" s="273"/>
      <c r="AJ92" s="452"/>
      <c r="AZ92" s="274"/>
      <c r="BJ92" s="224"/>
      <c r="BK92" s="224"/>
      <c r="BL92" s="224"/>
      <c r="BO92" s="177"/>
      <c r="BP92" s="224"/>
      <c r="BQ92" s="275"/>
      <c r="BR92" s="276"/>
      <c r="BS92" s="224"/>
      <c r="BT92" s="277"/>
      <c r="BX92" s="224"/>
      <c r="BY92" s="224"/>
      <c r="BZ92" s="177"/>
      <c r="CA92" s="177"/>
      <c r="CB92" s="177"/>
      <c r="CC92" s="177"/>
    </row>
    <row r="93" spans="6:81" x14ac:dyDescent="0.2">
      <c r="H93" s="175">
        <v>87</v>
      </c>
      <c r="I93" s="466">
        <f t="shared" si="26"/>
        <v>0.69600000000000006</v>
      </c>
      <c r="J93" s="222"/>
      <c r="K93" s="222"/>
      <c r="L93" s="222"/>
      <c r="M93" s="222"/>
      <c r="N93" s="272"/>
      <c r="O93" s="177"/>
      <c r="P93" s="222"/>
      <c r="Q93" s="452"/>
      <c r="S93" s="273"/>
      <c r="T93" s="273"/>
      <c r="U93" s="273"/>
      <c r="AJ93" s="452"/>
      <c r="AZ93" s="274"/>
      <c r="BJ93" s="224"/>
      <c r="BK93" s="224"/>
      <c r="BL93" s="224"/>
      <c r="BO93" s="177"/>
      <c r="BP93" s="224"/>
      <c r="BQ93" s="275"/>
      <c r="BR93" s="276"/>
      <c r="BS93" s="224"/>
      <c r="BT93" s="277"/>
      <c r="BX93" s="224"/>
      <c r="BY93" s="224"/>
      <c r="BZ93" s="177"/>
      <c r="CA93" s="177"/>
      <c r="CB93" s="177"/>
      <c r="CC93" s="177"/>
    </row>
    <row r="94" spans="6:81" x14ac:dyDescent="0.2">
      <c r="H94" s="175">
        <v>88</v>
      </c>
      <c r="I94" s="466">
        <f t="shared" si="26"/>
        <v>0.70400000000000007</v>
      </c>
      <c r="J94" s="222"/>
      <c r="K94" s="222"/>
      <c r="L94" s="222"/>
      <c r="M94" s="222"/>
      <c r="N94" s="272"/>
      <c r="O94" s="177"/>
      <c r="P94" s="222"/>
      <c r="Q94" s="452"/>
      <c r="S94" s="273"/>
      <c r="T94" s="273"/>
      <c r="U94" s="273"/>
      <c r="AJ94" s="452"/>
      <c r="AZ94" s="274"/>
      <c r="BJ94" s="224"/>
      <c r="BK94" s="224"/>
      <c r="BL94" s="224"/>
      <c r="BO94" s="177"/>
      <c r="BP94" s="224"/>
      <c r="BQ94" s="275"/>
      <c r="BR94" s="276"/>
      <c r="BS94" s="224"/>
      <c r="BT94" s="277"/>
      <c r="BX94" s="224"/>
      <c r="BY94" s="224"/>
      <c r="BZ94" s="177"/>
      <c r="CA94" s="177"/>
      <c r="CB94" s="177"/>
      <c r="CC94" s="177"/>
    </row>
    <row r="95" spans="6:81" x14ac:dyDescent="0.2">
      <c r="H95" s="175">
        <v>89</v>
      </c>
      <c r="I95" s="466">
        <f t="shared" si="26"/>
        <v>0.71200000000000008</v>
      </c>
      <c r="J95" s="222"/>
      <c r="K95" s="222"/>
      <c r="L95" s="222"/>
      <c r="M95" s="222"/>
      <c r="N95" s="272"/>
      <c r="O95" s="177"/>
      <c r="P95" s="222"/>
      <c r="Q95" s="452"/>
      <c r="S95" s="273"/>
      <c r="T95" s="273"/>
      <c r="U95" s="273"/>
      <c r="AJ95" s="452"/>
      <c r="AZ95" s="274"/>
      <c r="BJ95" s="224"/>
      <c r="BK95" s="224"/>
      <c r="BL95" s="224"/>
      <c r="BO95" s="177"/>
      <c r="BP95" s="224"/>
      <c r="BQ95" s="275"/>
      <c r="BR95" s="276"/>
      <c r="BS95" s="224"/>
      <c r="BT95" s="277"/>
      <c r="BX95" s="224"/>
      <c r="BY95" s="224"/>
      <c r="BZ95" s="177"/>
      <c r="CA95" s="177"/>
      <c r="CB95" s="177"/>
      <c r="CC95" s="177"/>
    </row>
    <row r="96" spans="6:81" x14ac:dyDescent="0.2">
      <c r="H96" s="175">
        <v>90</v>
      </c>
      <c r="I96" s="466">
        <f t="shared" si="26"/>
        <v>0.72000000000000008</v>
      </c>
      <c r="J96" s="222"/>
      <c r="K96" s="222"/>
      <c r="L96" s="222"/>
      <c r="M96" s="222"/>
      <c r="N96" s="272"/>
      <c r="O96" s="177"/>
      <c r="P96" s="222"/>
      <c r="Q96" s="452"/>
      <c r="S96" s="273"/>
      <c r="T96" s="273"/>
      <c r="U96" s="273"/>
      <c r="AJ96" s="452"/>
      <c r="AZ96" s="274"/>
      <c r="BJ96" s="224"/>
      <c r="BK96" s="224"/>
      <c r="BL96" s="224"/>
      <c r="BO96" s="177"/>
      <c r="BP96" s="224"/>
      <c r="BQ96" s="275"/>
      <c r="BR96" s="276"/>
      <c r="BS96" s="224"/>
      <c r="BT96" s="277"/>
      <c r="BX96" s="224"/>
      <c r="BY96" s="224"/>
      <c r="BZ96" s="177"/>
      <c r="CA96" s="177"/>
      <c r="CB96" s="177"/>
      <c r="CC96" s="177"/>
    </row>
    <row r="97" spans="8:81" x14ac:dyDescent="0.2">
      <c r="H97" s="175">
        <v>91</v>
      </c>
      <c r="I97" s="466">
        <f t="shared" si="26"/>
        <v>0.72800000000000009</v>
      </c>
      <c r="J97" s="222"/>
      <c r="K97" s="222"/>
      <c r="L97" s="222"/>
      <c r="M97" s="222"/>
      <c r="N97" s="272"/>
      <c r="O97" s="177"/>
      <c r="P97" s="222"/>
      <c r="Q97" s="452"/>
      <c r="S97" s="273"/>
      <c r="T97" s="273"/>
      <c r="U97" s="273"/>
      <c r="AJ97" s="452"/>
      <c r="AZ97" s="274"/>
      <c r="BJ97" s="224"/>
      <c r="BK97" s="224"/>
      <c r="BL97" s="224"/>
      <c r="BO97" s="177"/>
      <c r="BP97" s="224"/>
      <c r="BQ97" s="275"/>
      <c r="BR97" s="276"/>
      <c r="BS97" s="224"/>
      <c r="BT97" s="277"/>
      <c r="BX97" s="224"/>
      <c r="BY97" s="224"/>
      <c r="BZ97" s="177"/>
      <c r="CA97" s="177"/>
      <c r="CB97" s="177"/>
      <c r="CC97" s="177"/>
    </row>
    <row r="98" spans="8:81" x14ac:dyDescent="0.2">
      <c r="H98" s="175">
        <v>92</v>
      </c>
      <c r="I98" s="466">
        <f t="shared" si="26"/>
        <v>0.7360000000000001</v>
      </c>
      <c r="J98" s="222"/>
      <c r="K98" s="222"/>
      <c r="L98" s="222"/>
      <c r="M98" s="222"/>
      <c r="N98" s="272"/>
      <c r="O98" s="177"/>
      <c r="P98" s="222"/>
      <c r="Q98" s="452"/>
      <c r="S98" s="273"/>
      <c r="T98" s="273"/>
      <c r="U98" s="273"/>
      <c r="AJ98" s="452"/>
      <c r="AZ98" s="274"/>
      <c r="BJ98" s="224"/>
      <c r="BK98" s="224"/>
      <c r="BL98" s="224"/>
      <c r="BO98" s="177"/>
      <c r="BP98" s="224"/>
      <c r="BQ98" s="275"/>
      <c r="BR98" s="276"/>
      <c r="BS98" s="224"/>
      <c r="BT98" s="277"/>
      <c r="BX98" s="224"/>
      <c r="BY98" s="224"/>
      <c r="BZ98" s="177"/>
      <c r="CA98" s="177"/>
      <c r="CB98" s="177"/>
      <c r="CC98" s="177"/>
    </row>
    <row r="99" spans="8:81" x14ac:dyDescent="0.2">
      <c r="H99" s="175">
        <v>93</v>
      </c>
      <c r="I99" s="466">
        <f t="shared" si="26"/>
        <v>0.74400000000000011</v>
      </c>
      <c r="J99" s="222"/>
      <c r="K99" s="222"/>
      <c r="L99" s="222"/>
      <c r="M99" s="222"/>
      <c r="N99" s="272"/>
      <c r="O99" s="177"/>
      <c r="P99" s="222"/>
      <c r="Q99" s="452"/>
      <c r="S99" s="273"/>
      <c r="T99" s="273"/>
      <c r="U99" s="273"/>
      <c r="AJ99" s="452"/>
      <c r="AZ99" s="274"/>
      <c r="BJ99" s="224"/>
      <c r="BK99" s="224"/>
      <c r="BL99" s="224"/>
      <c r="BO99" s="177"/>
      <c r="BP99" s="224"/>
      <c r="BQ99" s="275"/>
      <c r="BR99" s="276"/>
      <c r="BS99" s="224"/>
      <c r="BT99" s="277"/>
      <c r="BX99" s="224"/>
      <c r="BY99" s="224"/>
      <c r="BZ99" s="177"/>
      <c r="CA99" s="177"/>
      <c r="CB99" s="177"/>
      <c r="CC99" s="177"/>
    </row>
    <row r="100" spans="8:81" x14ac:dyDescent="0.2">
      <c r="H100" s="175">
        <v>94</v>
      </c>
      <c r="I100" s="466">
        <f t="shared" si="26"/>
        <v>0.752</v>
      </c>
      <c r="J100" s="222"/>
      <c r="K100" s="222"/>
      <c r="L100" s="222"/>
      <c r="M100" s="222"/>
      <c r="N100" s="272"/>
      <c r="O100" s="177"/>
      <c r="P100" s="222"/>
      <c r="Q100" s="452"/>
      <c r="S100" s="273"/>
      <c r="T100" s="273"/>
      <c r="U100" s="273"/>
      <c r="AJ100" s="452"/>
      <c r="AZ100" s="274"/>
      <c r="BJ100" s="224"/>
      <c r="BK100" s="224"/>
      <c r="BL100" s="224"/>
      <c r="BO100" s="177"/>
      <c r="BP100" s="224"/>
      <c r="BQ100" s="275"/>
      <c r="BR100" s="276"/>
      <c r="BS100" s="224"/>
      <c r="BT100" s="277"/>
      <c r="BX100" s="224"/>
      <c r="BY100" s="224"/>
      <c r="BZ100" s="177"/>
      <c r="CA100" s="177"/>
      <c r="CB100" s="177"/>
      <c r="CC100" s="177"/>
    </row>
    <row r="101" spans="8:81" x14ac:dyDescent="0.2">
      <c r="H101" s="175">
        <v>95</v>
      </c>
      <c r="I101" s="466">
        <f t="shared" si="26"/>
        <v>0.76</v>
      </c>
      <c r="J101" s="222"/>
      <c r="K101" s="222"/>
      <c r="L101" s="222"/>
      <c r="M101" s="222"/>
      <c r="N101" s="272"/>
      <c r="O101" s="177"/>
      <c r="P101" s="222"/>
      <c r="Q101" s="452"/>
      <c r="S101" s="273"/>
      <c r="T101" s="273"/>
      <c r="U101" s="273"/>
      <c r="AJ101" s="452"/>
      <c r="AZ101" s="274"/>
      <c r="BJ101" s="224"/>
      <c r="BK101" s="224"/>
      <c r="BL101" s="224"/>
      <c r="BO101" s="177"/>
      <c r="BP101" s="224"/>
      <c r="BQ101" s="275"/>
      <c r="BR101" s="276"/>
      <c r="BS101" s="224"/>
      <c r="BT101" s="277"/>
      <c r="BX101" s="224"/>
      <c r="BY101" s="224"/>
      <c r="BZ101" s="177"/>
      <c r="CA101" s="177"/>
      <c r="CB101" s="177"/>
      <c r="CC101" s="177"/>
    </row>
    <row r="102" spans="8:81" x14ac:dyDescent="0.2">
      <c r="H102" s="175">
        <v>96</v>
      </c>
      <c r="I102" s="466">
        <f t="shared" ref="I102:I106" si="27">IF(PLOT_TYPE=1, H102/100*Iout_max, min_I*EXP(H102*rr/100))</f>
        <v>0.76800000000000002</v>
      </c>
      <c r="J102" s="222"/>
      <c r="K102" s="222"/>
      <c r="L102" s="222"/>
      <c r="M102" s="222"/>
      <c r="N102" s="272"/>
      <c r="O102" s="177"/>
      <c r="P102" s="222"/>
      <c r="Q102" s="452"/>
      <c r="S102" s="273"/>
      <c r="T102" s="273"/>
      <c r="U102" s="273"/>
      <c r="AJ102" s="452"/>
      <c r="AZ102" s="274"/>
      <c r="BJ102" s="224"/>
      <c r="BK102" s="224"/>
      <c r="BL102" s="224"/>
      <c r="BO102" s="177"/>
      <c r="BP102" s="224"/>
      <c r="BQ102" s="275"/>
      <c r="BR102" s="276"/>
      <c r="BS102" s="224"/>
      <c r="BT102" s="277"/>
      <c r="BX102" s="224"/>
      <c r="BY102" s="224"/>
      <c r="BZ102" s="177"/>
      <c r="CA102" s="177"/>
      <c r="CB102" s="177"/>
      <c r="CC102" s="177"/>
    </row>
    <row r="103" spans="8:81" x14ac:dyDescent="0.2">
      <c r="H103" s="175">
        <v>97</v>
      </c>
      <c r="I103" s="466">
        <f t="shared" si="27"/>
        <v>0.77600000000000002</v>
      </c>
      <c r="J103" s="222"/>
      <c r="K103" s="222"/>
      <c r="L103" s="222"/>
      <c r="M103" s="222"/>
      <c r="N103" s="272"/>
      <c r="O103" s="177"/>
      <c r="P103" s="222"/>
      <c r="Q103" s="452"/>
      <c r="S103" s="273"/>
      <c r="T103" s="273"/>
      <c r="U103" s="273"/>
      <c r="AJ103" s="452"/>
      <c r="AZ103" s="274"/>
      <c r="BJ103" s="224"/>
      <c r="BK103" s="224"/>
      <c r="BL103" s="224"/>
      <c r="BO103" s="177"/>
      <c r="BP103" s="224"/>
      <c r="BQ103" s="275"/>
      <c r="BR103" s="276"/>
      <c r="BS103" s="224"/>
      <c r="BT103" s="277"/>
      <c r="BX103" s="224"/>
      <c r="BY103" s="224"/>
      <c r="BZ103" s="177"/>
      <c r="CA103" s="177"/>
      <c r="CB103" s="177"/>
      <c r="CC103" s="177"/>
    </row>
    <row r="104" spans="8:81" x14ac:dyDescent="0.2">
      <c r="H104" s="175">
        <v>98</v>
      </c>
      <c r="I104" s="466">
        <f t="shared" si="27"/>
        <v>0.78400000000000003</v>
      </c>
      <c r="J104" s="222"/>
      <c r="K104" s="222"/>
      <c r="L104" s="222"/>
      <c r="M104" s="222"/>
      <c r="N104" s="272"/>
      <c r="O104" s="177"/>
      <c r="P104" s="222"/>
      <c r="Q104" s="452"/>
      <c r="S104" s="273"/>
      <c r="T104" s="273"/>
      <c r="U104" s="273"/>
      <c r="AJ104" s="452"/>
      <c r="AZ104" s="274"/>
      <c r="BJ104" s="224"/>
      <c r="BK104" s="224"/>
      <c r="BL104" s="224"/>
      <c r="BO104" s="177"/>
      <c r="BP104" s="224"/>
      <c r="BQ104" s="275"/>
      <c r="BR104" s="276"/>
      <c r="BS104" s="224"/>
      <c r="BT104" s="277"/>
      <c r="BX104" s="224"/>
      <c r="BY104" s="224"/>
      <c r="BZ104" s="177"/>
      <c r="CA104" s="177"/>
      <c r="CB104" s="177"/>
      <c r="CC104" s="177"/>
    </row>
    <row r="105" spans="8:81" x14ac:dyDescent="0.2">
      <c r="H105" s="175">
        <v>99</v>
      </c>
      <c r="I105" s="466">
        <f t="shared" si="27"/>
        <v>0.79200000000000004</v>
      </c>
      <c r="J105" s="222"/>
      <c r="K105" s="222"/>
      <c r="L105" s="222"/>
      <c r="M105" s="222"/>
      <c r="N105" s="272"/>
      <c r="O105" s="177"/>
      <c r="P105" s="222"/>
      <c r="Q105" s="452"/>
      <c r="S105" s="273"/>
      <c r="T105" s="273"/>
      <c r="U105" s="273"/>
      <c r="AJ105" s="452"/>
      <c r="AZ105" s="274"/>
      <c r="BJ105" s="224"/>
      <c r="BK105" s="224"/>
      <c r="BL105" s="224"/>
      <c r="BO105" s="177"/>
      <c r="BP105" s="224"/>
      <c r="BQ105" s="275"/>
      <c r="BR105" s="276"/>
      <c r="BS105" s="224"/>
      <c r="BT105" s="277"/>
      <c r="BX105" s="224"/>
      <c r="BY105" s="224"/>
      <c r="BZ105" s="177"/>
      <c r="CA105" s="177"/>
      <c r="CB105" s="177"/>
      <c r="CC105" s="177"/>
    </row>
    <row r="106" spans="8:81" x14ac:dyDescent="0.2">
      <c r="H106" s="175">
        <v>100</v>
      </c>
      <c r="I106" s="466">
        <f t="shared" si="27"/>
        <v>0.8</v>
      </c>
      <c r="J106" s="222"/>
      <c r="K106" s="222"/>
      <c r="L106" s="222"/>
      <c r="M106" s="222"/>
      <c r="N106" s="272"/>
      <c r="O106" s="177"/>
      <c r="P106" s="222"/>
      <c r="Q106" s="452"/>
      <c r="S106" s="273"/>
      <c r="T106" s="273"/>
      <c r="U106" s="273"/>
      <c r="AJ106" s="452"/>
      <c r="AY106" s="221">
        <f>Vout*I106</f>
        <v>9.6000000000000014</v>
      </c>
      <c r="AZ106" s="274">
        <f t="shared" ref="AZ106" si="28">AY106/(AY106+AX106)</f>
        <v>1</v>
      </c>
      <c r="BA106" s="350">
        <f t="shared" ref="BA106" si="29">AG106/($AY106+$AX106)</f>
        <v>0</v>
      </c>
      <c r="BB106" s="350">
        <f t="shared" ref="BB106" si="30">AO106/($AY106+$AX106)</f>
        <v>0</v>
      </c>
      <c r="BC106" s="350" t="e">
        <f t="shared" ref="BC106" si="31">Vin*R106*(QgBot+Qg)/($AY106+$AX106)</f>
        <v>#NAME?</v>
      </c>
      <c r="BD106" s="350">
        <f t="shared" ref="BD106" si="32">AK106/($AY106+$AX106)</f>
        <v>0</v>
      </c>
      <c r="BE106" s="350">
        <f t="shared" ref="BE106" si="33">AQ106/(AX106+AY106)</f>
        <v>0</v>
      </c>
      <c r="BF106" s="350">
        <f t="shared" ref="BF106" si="34">AR106/($AY106+$AX106)</f>
        <v>0</v>
      </c>
      <c r="BG106" s="350">
        <f t="shared" ref="BG106" si="35">W106/($AY106+$AX106)</f>
        <v>0</v>
      </c>
      <c r="BH106" s="350">
        <f t="shared" ref="BH106" si="36">X106/($AY106+$AX106)</f>
        <v>0</v>
      </c>
      <c r="BI106" s="350">
        <f t="shared" ref="BI106" si="37">(AB106+AE106)/($AY106+$AX106)</f>
        <v>0</v>
      </c>
      <c r="BJ106" s="224">
        <f t="shared" ref="BJ106" si="38">AT106/($AY106+$AX106)</f>
        <v>0</v>
      </c>
      <c r="BK106" s="224">
        <f t="shared" ref="BK106" si="39">AX106/($AY106+$AX106)</f>
        <v>0</v>
      </c>
      <c r="BL106" s="224">
        <f t="shared" ref="BL106" si="40">AZ106</f>
        <v>1</v>
      </c>
      <c r="BM106" s="177">
        <f t="shared" ref="BM106" si="41">100*BL106</f>
        <v>100</v>
      </c>
      <c r="BN106" s="222">
        <f xml:space="preserve"> CHOOSE(MODE, I106*1000,#REF!)</f>
        <v>800</v>
      </c>
      <c r="BO106" s="177">
        <v>88.698181382326453</v>
      </c>
      <c r="BP106" s="224">
        <f t="shared" ref="BP106" si="42">BO106/100</f>
        <v>0.88698181382326458</v>
      </c>
      <c r="BQ106" s="275">
        <f t="shared" ref="BQ106" si="43">R106/1000</f>
        <v>0</v>
      </c>
      <c r="BR106" s="276"/>
      <c r="BS106" s="224">
        <f t="shared" ref="BS106" si="44">AL106/($AY106+$AX106)</f>
        <v>0</v>
      </c>
      <c r="BT106" s="277"/>
      <c r="BU106" s="177">
        <f t="shared" ref="BU106" si="45">1000*AW106</f>
        <v>0</v>
      </c>
      <c r="BV106" s="177">
        <f t="shared" ref="BV106" si="46">1000*AU106</f>
        <v>0</v>
      </c>
      <c r="BW106" s="177">
        <f t="shared" ref="BW106" si="47">1000*Y106</f>
        <v>0</v>
      </c>
      <c r="BX106" s="224"/>
      <c r="BY106" s="224"/>
      <c r="BZ106" s="177">
        <f xml:space="preserve"> IF(MODE=1, BM106,#REF!)</f>
        <v>100</v>
      </c>
      <c r="CA106" s="177">
        <f xml:space="preserve"> IF(MODE=1, BU106,#REF!)</f>
        <v>0</v>
      </c>
      <c r="CB106" s="177">
        <f xml:space="preserve"> IF(MODE=1, BV106,#REF!)</f>
        <v>0</v>
      </c>
      <c r="CC106" s="177">
        <f xml:space="preserve"> IF(MODE=1, BW106,#REF!)</f>
        <v>0</v>
      </c>
    </row>
    <row r="107" spans="8:81" x14ac:dyDescent="0.2">
      <c r="BQ107" s="275"/>
      <c r="BR107" s="276"/>
      <c r="BS107" s="276"/>
      <c r="BT107" s="277"/>
      <c r="BX107" s="224"/>
      <c r="BY107" s="224"/>
    </row>
    <row r="108" spans="8:81" x14ac:dyDescent="0.2">
      <c r="H108" s="333">
        <v>1.0000000000000001E-5</v>
      </c>
      <c r="I108" s="334" t="s">
        <v>1</v>
      </c>
      <c r="J108" s="335" t="s">
        <v>277</v>
      </c>
      <c r="AG108" s="221">
        <v>4.9516878778202269E-3</v>
      </c>
      <c r="AH108" s="221">
        <v>3.7188236700537959E-3</v>
      </c>
      <c r="AI108">
        <v>20</v>
      </c>
      <c r="AJ108" s="221">
        <v>18.943591787921068</v>
      </c>
      <c r="AK108" s="221">
        <v>4.1453367485397245E-3</v>
      </c>
      <c r="AL108" s="221">
        <v>7.1640215182307235E-3</v>
      </c>
      <c r="AN108" s="221">
        <v>9.1940431932401354E-2</v>
      </c>
      <c r="AO108" s="221">
        <v>8.4530430239165271E-3</v>
      </c>
      <c r="AP108" s="221">
        <v>9.3281530185295868E-4</v>
      </c>
      <c r="AQ108" s="221">
        <v>9.1178757202630047E-3</v>
      </c>
      <c r="AR108" s="221">
        <v>1.2140752334887425E-3</v>
      </c>
      <c r="AS108" s="221">
        <v>1.8784993977668273E-2</v>
      </c>
      <c r="AZ108" s="337" t="s">
        <v>281</v>
      </c>
      <c r="BA108" s="357">
        <v>3.6409104085968987E-3</v>
      </c>
      <c r="BB108" s="357">
        <v>6.5692245841190103E-3</v>
      </c>
      <c r="BC108" s="357">
        <v>5.4394694205683519E-2</v>
      </c>
      <c r="BD108" s="357">
        <v>4.5907837520612008E-3</v>
      </c>
      <c r="BE108" s="357">
        <v>0</v>
      </c>
      <c r="BF108" s="357">
        <v>7.3751579484765363E-4</v>
      </c>
      <c r="BG108" s="357">
        <v>7.2151246180390156E-3</v>
      </c>
      <c r="BH108" s="357">
        <v>1.4929120352630757E-2</v>
      </c>
      <c r="BI108" s="357">
        <v>5.5024434421027814E-6</v>
      </c>
      <c r="BJ108" s="357">
        <v>8.2551506228875166E-2</v>
      </c>
    </row>
    <row r="109" spans="8:81" x14ac:dyDescent="0.2">
      <c r="H109" s="336">
        <f>Iout_max</f>
        <v>0.8</v>
      </c>
      <c r="I109" s="334" t="s">
        <v>1</v>
      </c>
      <c r="J109" s="335" t="s">
        <v>278</v>
      </c>
      <c r="AZ109" s="337" t="s">
        <v>279</v>
      </c>
      <c r="BA109" s="357">
        <v>8.1000709018000279E-3</v>
      </c>
      <c r="BB109" s="357">
        <v>1.4614802049391215E-2</v>
      </c>
      <c r="BC109" s="357">
        <v>2.4831534664325892E-2</v>
      </c>
      <c r="BD109" s="357">
        <v>9.9057039827182662E-3</v>
      </c>
      <c r="BE109" s="357">
        <v>1.1631608311305648E-2</v>
      </c>
      <c r="BF109" s="357">
        <v>1.6465542803473395E-3</v>
      </c>
      <c r="BG109" s="357">
        <v>1.6051760250250457E-2</v>
      </c>
      <c r="BH109" s="357">
        <v>6.8152413568584669E-3</v>
      </c>
      <c r="BI109" s="357">
        <v>1.7517781122613987E-5</v>
      </c>
      <c r="BJ109" s="357">
        <v>1.2837829865088564E-2</v>
      </c>
    </row>
    <row r="110" spans="8:81" x14ac:dyDescent="0.2">
      <c r="H110" s="336">
        <f>LOG(max_I/min_I,EXP(1))</f>
        <v>11.289781913656018</v>
      </c>
      <c r="I110" s="222"/>
      <c r="J110" s="335" t="s">
        <v>280</v>
      </c>
    </row>
    <row r="111" spans="8:81" x14ac:dyDescent="0.2">
      <c r="AZ111" s="337"/>
      <c r="BA111" s="357"/>
      <c r="BB111" s="357"/>
      <c r="BC111" s="357"/>
      <c r="BD111" s="357"/>
      <c r="BE111" s="357"/>
      <c r="BF111" s="357"/>
      <c r="BG111" s="357"/>
      <c r="BH111" s="357"/>
      <c r="BI111" s="357"/>
      <c r="BJ111" s="357"/>
    </row>
    <row r="112" spans="8:81" x14ac:dyDescent="0.2">
      <c r="J112" s="339"/>
      <c r="R112" s="340"/>
      <c r="S112" s="340"/>
      <c r="T112" s="340"/>
      <c r="U112" s="340"/>
      <c r="V112" s="341"/>
    </row>
    <row r="113" spans="10:22" x14ac:dyDescent="0.2">
      <c r="J113" s="339"/>
      <c r="R113" s="340"/>
      <c r="S113" s="340"/>
      <c r="T113" s="340"/>
      <c r="U113" s="340"/>
      <c r="V113" s="341"/>
    </row>
    <row r="114" spans="10:22" x14ac:dyDescent="0.2">
      <c r="R114" s="342"/>
      <c r="S114" s="342"/>
      <c r="T114" s="342"/>
      <c r="U114" s="342"/>
      <c r="V114" s="341"/>
    </row>
    <row r="116" spans="10:22" x14ac:dyDescent="0.2">
      <c r="R116" s="342"/>
      <c r="S116" s="342"/>
      <c r="T116" s="342"/>
      <c r="U116" s="342"/>
      <c r="V116" s="341"/>
    </row>
    <row r="121" spans="10:22" x14ac:dyDescent="0.2">
      <c r="V121" s="335"/>
    </row>
    <row r="122" spans="10:22" x14ac:dyDescent="0.2">
      <c r="O122" s="335"/>
      <c r="P122" s="335"/>
      <c r="Q122" s="335"/>
    </row>
    <row r="123" spans="10:22" x14ac:dyDescent="0.2">
      <c r="O123" s="335"/>
      <c r="P123" s="335"/>
      <c r="Q123" s="335"/>
    </row>
    <row r="124" spans="10:22" x14ac:dyDescent="0.2">
      <c r="O124" s="335"/>
      <c r="P124" s="335"/>
      <c r="Q124" s="335"/>
    </row>
    <row r="125" spans="10:22" x14ac:dyDescent="0.2">
      <c r="O125" s="335"/>
      <c r="P125" s="335"/>
      <c r="Q125" s="335"/>
    </row>
    <row r="126" spans="10:22" x14ac:dyDescent="0.2">
      <c r="J126" s="343"/>
      <c r="O126" s="335"/>
      <c r="P126" s="335"/>
      <c r="Q126" s="335"/>
    </row>
    <row r="127" spans="10:22" x14ac:dyDescent="0.2">
      <c r="J127" s="343"/>
      <c r="O127" s="335"/>
      <c r="P127" s="335"/>
      <c r="Q127" s="335"/>
    </row>
    <row r="128" spans="10:22" x14ac:dyDescent="0.2">
      <c r="J128" s="343"/>
      <c r="O128" s="335"/>
      <c r="P128" s="335"/>
      <c r="Q128" s="335"/>
    </row>
    <row r="129" spans="10:17" x14ac:dyDescent="0.2">
      <c r="J129" s="334"/>
      <c r="O129" s="335"/>
      <c r="P129" s="335"/>
      <c r="Q129" s="335"/>
    </row>
    <row r="130" spans="10:17" x14ac:dyDescent="0.2">
      <c r="J130" s="334"/>
    </row>
    <row r="131" spans="10:17" x14ac:dyDescent="0.2">
      <c r="J131" s="334"/>
    </row>
    <row r="132" spans="10:17" x14ac:dyDescent="0.2">
      <c r="J132" s="334"/>
    </row>
    <row r="133" spans="10:17" x14ac:dyDescent="0.2">
      <c r="J133" s="334"/>
    </row>
  </sheetData>
  <mergeCells count="4">
    <mergeCell ref="A1:E3"/>
    <mergeCell ref="G2:H2"/>
    <mergeCell ref="A4:E4"/>
    <mergeCell ref="K4:U4"/>
  </mergeCells>
  <conditionalFormatting sqref="B26:B28">
    <cfRule type="cellIs" dxfId="58" priority="8" stopIfTrue="1" operator="notEqual">
      <formula>G28</formula>
    </cfRule>
  </conditionalFormatting>
  <conditionalFormatting sqref="B30:B33">
    <cfRule type="cellIs" dxfId="57" priority="6" stopIfTrue="1" operator="notEqual">
      <formula>G36</formula>
    </cfRule>
  </conditionalFormatting>
  <conditionalFormatting sqref="B35:B38">
    <cfRule type="cellIs" dxfId="56" priority="5" stopIfTrue="1" operator="notEqual">
      <formula>G42</formula>
    </cfRule>
  </conditionalFormatting>
  <conditionalFormatting sqref="B42:B43">
    <cfRule type="cellIs" dxfId="55" priority="4" stopIfTrue="1" operator="notEqual">
      <formula>G53</formula>
    </cfRule>
  </conditionalFormatting>
  <conditionalFormatting sqref="B50:B53">
    <cfRule type="cellIs" dxfId="54" priority="9" stopIfTrue="1" operator="notEqual">
      <formula>G70</formula>
    </cfRule>
  </conditionalFormatting>
  <conditionalFormatting sqref="B48:B49">
    <cfRule type="cellIs" dxfId="53" priority="12" stopIfTrue="1" operator="notEqual">
      <formula>G68</formula>
    </cfRule>
  </conditionalFormatting>
  <conditionalFormatting sqref="B44:B45">
    <cfRule type="cellIs" dxfId="52" priority="13" stopIfTrue="1" operator="notEqual">
      <formula>G55</formula>
    </cfRule>
  </conditionalFormatting>
  <conditionalFormatting sqref="B46">
    <cfRule type="cellIs" dxfId="51" priority="2" stopIfTrue="1" operator="notEqual">
      <formula>G66</formula>
    </cfRule>
  </conditionalFormatting>
  <conditionalFormatting sqref="B29">
    <cfRule type="cellIs" dxfId="50" priority="145" stopIfTrue="1" operator="notEqual">
      <formula>G30</formula>
    </cfRule>
  </conditionalFormatting>
  <conditionalFormatting sqref="B39:B40">
    <cfRule type="cellIs" dxfId="49" priority="147" stopIfTrue="1" operator="notEqual">
      <formula>G43</formula>
    </cfRule>
  </conditionalFormatting>
  <pageMargins left="0.75" right="0.75" top="1" bottom="1" header="0.5" footer="0.5"/>
  <pageSetup scale="79" orientation="portrait" r:id="rId1"/>
  <headerFooter alignWithMargins="0"/>
  <colBreaks count="1" manualBreakCount="1">
    <brk id="7" max="1048575" man="1"/>
  </colBreaks>
  <ignoredErrors>
    <ignoredError sqref="B8:B9 BQ6:BQ7" unlockedFormula="1"/>
    <ignoredError sqref="D11" formula="1"/>
  </ignoredErrors>
  <drawing r:id="rId2"/>
  <legacyDrawing r:id="rId3"/>
  <oleObjects>
    <mc:AlternateContent xmlns:mc="http://schemas.openxmlformats.org/markup-compatibility/2006">
      <mc:Choice Requires="x14">
        <oleObject progId="Visio.Drawing.11" shapeId="683009" r:id="rId4">
          <objectPr defaultSize="0" autoPict="0" r:id="rId5">
            <anchor moveWithCells="1">
              <from>
                <xdr:col>22</xdr:col>
                <xdr:colOff>180975</xdr:colOff>
                <xdr:row>111</xdr:row>
                <xdr:rowOff>142875</xdr:rowOff>
              </from>
              <to>
                <xdr:col>36</xdr:col>
                <xdr:colOff>9525</xdr:colOff>
                <xdr:row>125</xdr:row>
                <xdr:rowOff>142875</xdr:rowOff>
              </to>
            </anchor>
          </objectPr>
        </oleObject>
      </mc:Choice>
      <mc:Fallback>
        <oleObject progId="Visio.Drawing.11" shapeId="683009"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2:B7"/>
  <sheetViews>
    <sheetView zoomScaleNormal="100" workbookViewId="0">
      <selection activeCell="D5" sqref="D5"/>
    </sheetView>
  </sheetViews>
  <sheetFormatPr defaultRowHeight="12.75" x14ac:dyDescent="0.2"/>
  <cols>
    <col min="2" max="2" width="126.42578125" customWidth="1"/>
  </cols>
  <sheetData>
    <row r="2" spans="1:2" ht="17.25" customHeight="1" x14ac:dyDescent="0.2">
      <c r="A2" s="77" t="str">
        <f>CHOOSE(MODE, "EFF_SINGLE", "EFF_DUAL")</f>
        <v>EFF_SINGLE</v>
      </c>
    </row>
    <row r="5" spans="1:2" ht="409.5" customHeight="1" x14ac:dyDescent="0.2">
      <c r="B5" s="364"/>
    </row>
    <row r="6" spans="1:2" ht="17.100000000000001" customHeight="1" x14ac:dyDescent="0.2"/>
    <row r="7" spans="1:2" ht="409.5" customHeight="1" x14ac:dyDescent="0.2">
      <c r="B7" s="364"/>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164</vt:i4>
      </vt:variant>
    </vt:vector>
  </HeadingPairs>
  <TitlesOfParts>
    <vt:vector size="176" baseType="lpstr">
      <vt:lpstr>Design PSR Flyback Converter</vt:lpstr>
      <vt:lpstr>BOM &amp; Schematic</vt:lpstr>
      <vt:lpstr>EVMs</vt:lpstr>
      <vt:lpstr>Variable Mgmt</vt:lpstr>
      <vt:lpstr>Calculations - Single</vt:lpstr>
      <vt:lpstr>Calculations - Dual</vt:lpstr>
      <vt:lpstr>Fsw vs VIN</vt:lpstr>
      <vt:lpstr>Parameters</vt:lpstr>
      <vt:lpstr>Efficiency Plots</vt:lpstr>
      <vt:lpstr>Fsw Plots</vt:lpstr>
      <vt:lpstr>Schematic Mgmt</vt:lpstr>
      <vt:lpstr>Standard Value Calculator</vt:lpstr>
      <vt:lpstr>_Don1</vt:lpstr>
      <vt:lpstr>BDserR</vt:lpstr>
      <vt:lpstr>Cb</vt:lpstr>
      <vt:lpstr>Parameters!Cin</vt:lpstr>
      <vt:lpstr>Cin</vt:lpstr>
      <vt:lpstr>CinEsrMax</vt:lpstr>
      <vt:lpstr>Cinmin</vt:lpstr>
      <vt:lpstr>CONFIG</vt:lpstr>
      <vt:lpstr>Coss</vt:lpstr>
      <vt:lpstr>Parameters!Cout</vt:lpstr>
      <vt:lpstr>Cout</vt:lpstr>
      <vt:lpstr>Cout_Voltage_Rating</vt:lpstr>
      <vt:lpstr>Cout2</vt:lpstr>
      <vt:lpstr>CoutEsr</vt:lpstr>
      <vt:lpstr>CoutEsr2</vt:lpstr>
      <vt:lpstr>Css</vt:lpstr>
      <vt:lpstr>Css_u</vt:lpstr>
      <vt:lpstr>Csw</vt:lpstr>
      <vt:lpstr>Diode_TC</vt:lpstr>
      <vt:lpstr>Don_Vinmax</vt:lpstr>
      <vt:lpstr>Don_Vinmin</vt:lpstr>
      <vt:lpstr>Don_Vinnom</vt:lpstr>
      <vt:lpstr>EFF_DUAL</vt:lpstr>
      <vt:lpstr>EFF_SINGLE</vt:lpstr>
      <vt:lpstr>Efficiency</vt:lpstr>
      <vt:lpstr>Parameters!Fsw</vt:lpstr>
      <vt:lpstr>Fsw_DCM</vt:lpstr>
      <vt:lpstr>Fsw_DUAL</vt:lpstr>
      <vt:lpstr>Fsw_max</vt:lpstr>
      <vt:lpstr>Fsw_SINGLE</vt:lpstr>
      <vt:lpstr>Icinrms</vt:lpstr>
      <vt:lpstr>Icoutrms</vt:lpstr>
      <vt:lpstr>Iin_Vinmax</vt:lpstr>
      <vt:lpstr>Iin_Vinmin</vt:lpstr>
      <vt:lpstr>Iin_Vinnom</vt:lpstr>
      <vt:lpstr>Iout</vt:lpstr>
      <vt:lpstr>Iout_max</vt:lpstr>
      <vt:lpstr>Iout2</vt:lpstr>
      <vt:lpstr>Iout2_actual</vt:lpstr>
      <vt:lpstr>'Calculations - Dual'!Ioutmax_Vinmax</vt:lpstr>
      <vt:lpstr>Ioutmax_Vinmax</vt:lpstr>
      <vt:lpstr>'Calculations - Dual'!Ioutmax_Vinmin</vt:lpstr>
      <vt:lpstr>Ioutmax_Vinmin</vt:lpstr>
      <vt:lpstr>'Calculations - Dual'!Ioutmax_Vinnom</vt:lpstr>
      <vt:lpstr>Ioutmax_Vinnom</vt:lpstr>
      <vt:lpstr>IQ</vt:lpstr>
      <vt:lpstr>Iripple</vt:lpstr>
      <vt:lpstr>Iss</vt:lpstr>
      <vt:lpstr>Isw_max</vt:lpstr>
      <vt:lpstr>Isw_min</vt:lpstr>
      <vt:lpstr>Iuvlo_hys</vt:lpstr>
      <vt:lpstr>Iuvlo1</vt:lpstr>
      <vt:lpstr>Iuvlo2</vt:lpstr>
      <vt:lpstr>k_core</vt:lpstr>
      <vt:lpstr>L</vt:lpstr>
      <vt:lpstr>Lf</vt:lpstr>
      <vt:lpstr>Lleak</vt:lpstr>
      <vt:lpstr>Lmin</vt:lpstr>
      <vt:lpstr>Ltc</vt:lpstr>
      <vt:lpstr>max_I</vt:lpstr>
      <vt:lpstr>min_I</vt:lpstr>
      <vt:lpstr>MODE</vt:lpstr>
      <vt:lpstr>MODE_SS</vt:lpstr>
      <vt:lpstr>MODE_TC</vt:lpstr>
      <vt:lpstr>MODE_TOP</vt:lpstr>
      <vt:lpstr>MODE_UVLO</vt:lpstr>
      <vt:lpstr>Npri_sec1</vt:lpstr>
      <vt:lpstr>Npri_sec2</vt:lpstr>
      <vt:lpstr>Nps</vt:lpstr>
      <vt:lpstr>Nsec1sec2</vt:lpstr>
      <vt:lpstr>OffTime</vt:lpstr>
      <vt:lpstr>OnTime</vt:lpstr>
      <vt:lpstr>Pi</vt:lpstr>
      <vt:lpstr>Pin</vt:lpstr>
      <vt:lpstr>PLOT_TYPE</vt:lpstr>
      <vt:lpstr>Pout</vt:lpstr>
      <vt:lpstr>Pout_total</vt:lpstr>
      <vt:lpstr>Pout2</vt:lpstr>
      <vt:lpstr>'BOM &amp; Schematic'!Print_Area</vt:lpstr>
      <vt:lpstr>'Design PSR Flyback Converter'!Print_Area</vt:lpstr>
      <vt:lpstr>Qg</vt:lpstr>
      <vt:lpstr>Parameters!RCinEsr</vt:lpstr>
      <vt:lpstr>RCinEsr</vt:lpstr>
      <vt:lpstr>Parameters!RCoutEsr</vt:lpstr>
      <vt:lpstr>RCoutEsr</vt:lpstr>
      <vt:lpstr>Rdcr_pri</vt:lpstr>
      <vt:lpstr>Rdcr_sec</vt:lpstr>
      <vt:lpstr>Rdcr_sec2</vt:lpstr>
      <vt:lpstr>Rdson</vt:lpstr>
      <vt:lpstr>Rfb</vt:lpstr>
      <vt:lpstr>Rfb_recommend</vt:lpstr>
      <vt:lpstr>Rfb2_u</vt:lpstr>
      <vt:lpstr>Rout</vt:lpstr>
      <vt:lpstr>Rout2</vt:lpstr>
      <vt:lpstr>rr</vt:lpstr>
      <vt:lpstr>RTC</vt:lpstr>
      <vt:lpstr>RTC_1</vt:lpstr>
      <vt:lpstr>Ruvlo1</vt:lpstr>
      <vt:lpstr>Ruvlo2</vt:lpstr>
      <vt:lpstr>SCH_BIPOLAR_UVLOadj_SSadj_TCno</vt:lpstr>
      <vt:lpstr>SCH_BIPOLAR_UVLOadj_SSadj_TCyes</vt:lpstr>
      <vt:lpstr>SCH_BIPOLAR_UVLOadj_SSint_TCno</vt:lpstr>
      <vt:lpstr>SCH_BIPOLAR_UVLOadj_SSint_TCyes</vt:lpstr>
      <vt:lpstr>SCH_BIPOLAR_UVLOint_SSadj_TCno</vt:lpstr>
      <vt:lpstr>SCH_BIPOLAR_UVLOint_SSadj_TCyes</vt:lpstr>
      <vt:lpstr>SCH_BIPOLAR_UVLOint_SSint_TCno</vt:lpstr>
      <vt:lpstr>SCH_BIPOLAR_UVLOint_SSint_TCyes</vt:lpstr>
      <vt:lpstr>SCH_DUAL_UVLOadj_SSadj_TCno</vt:lpstr>
      <vt:lpstr>SCH_DUAL_UVLOadj_SSadj_TCyes</vt:lpstr>
      <vt:lpstr>SCH_DUAL_UVLOadj_SSint_TCno</vt:lpstr>
      <vt:lpstr>SCH_DUAL_UVLOadj_SSint_TCyes</vt:lpstr>
      <vt:lpstr>SCH_DUAL_UVLOint_SSadj_TCno</vt:lpstr>
      <vt:lpstr>SCH_DUAL_UVLOint_SSadj_TCyes</vt:lpstr>
      <vt:lpstr>SCH_DUAL_UVLOint_SSint_TCno</vt:lpstr>
      <vt:lpstr>SCH_DUAL_UVLOint_SSint_TCyes</vt:lpstr>
      <vt:lpstr>SCH_SINGLE_UVLOadj_SSadj_TCno</vt:lpstr>
      <vt:lpstr>SCH_SINGLE_UVLOadj_SSadj_TCyes</vt:lpstr>
      <vt:lpstr>SCH_SINGLE_UVLOadj_SSint_TCno</vt:lpstr>
      <vt:lpstr>SCH_SINGLE_UVLOadj_SSint_TCyes</vt:lpstr>
      <vt:lpstr>SCH_SINGLE_UVLOint_SSadj_TCno</vt:lpstr>
      <vt:lpstr>SCH_SINGLE_UVLOint_SSadj_TCyes</vt:lpstr>
      <vt:lpstr>SCH_SINGLE_UVLOint_SSint_TCno</vt:lpstr>
      <vt:lpstr>SCH_SINGLE_UVLOint_SSint_TCyes</vt:lpstr>
      <vt:lpstr>Parameters!Ta</vt:lpstr>
      <vt:lpstr>Ta</vt:lpstr>
      <vt:lpstr>TC</vt:lpstr>
      <vt:lpstr>Tfall</vt:lpstr>
      <vt:lpstr>ThetaCa</vt:lpstr>
      <vt:lpstr>TL</vt:lpstr>
      <vt:lpstr>toff_min1</vt:lpstr>
      <vt:lpstr>toff_min2</vt:lpstr>
      <vt:lpstr>Toff_Vinmax</vt:lpstr>
      <vt:lpstr>Ton_Vinmin</vt:lpstr>
      <vt:lpstr>Trise</vt:lpstr>
      <vt:lpstr>TrrBot</vt:lpstr>
      <vt:lpstr>Tss</vt:lpstr>
      <vt:lpstr>Turns_Ratio</vt:lpstr>
      <vt:lpstr>Turns_Ratio2</vt:lpstr>
      <vt:lpstr>VARIANT</vt:lpstr>
      <vt:lpstr>Vdd</vt:lpstr>
      <vt:lpstr>Vfwd1</vt:lpstr>
      <vt:lpstr>Vfwd2</vt:lpstr>
      <vt:lpstr>Vin</vt:lpstr>
      <vt:lpstr>VIN_max</vt:lpstr>
      <vt:lpstr>VIN_min</vt:lpstr>
      <vt:lpstr>VIN_nom</vt:lpstr>
      <vt:lpstr>Vinripple1</vt:lpstr>
      <vt:lpstr>Vinripple2</vt:lpstr>
      <vt:lpstr>VINuvlo_off</vt:lpstr>
      <vt:lpstr>VINuvlo_on</vt:lpstr>
      <vt:lpstr>Vout</vt:lpstr>
      <vt:lpstr>Vout_ripple</vt:lpstr>
      <vt:lpstr>Vout_ripple2</vt:lpstr>
      <vt:lpstr>Vout2</vt:lpstr>
      <vt:lpstr>Vout2_actual</vt:lpstr>
      <vt:lpstr>Vref</vt:lpstr>
      <vt:lpstr>Vripple1_actual</vt:lpstr>
      <vt:lpstr>Vripple1_spec</vt:lpstr>
      <vt:lpstr>Vripple2_actual</vt:lpstr>
      <vt:lpstr>Vripple2_spec</vt:lpstr>
      <vt:lpstr>VRRM_DIODE</vt:lpstr>
      <vt:lpstr>Vuvlo_hys</vt:lpstr>
      <vt:lpstr>Vuvlo_off</vt:lpstr>
      <vt:lpstr>Vuvlo_on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LM25184-Q1 Design Calculator</dc:title>
  <dc:creator>Timothy Hegarty</dc:creator>
  <cp:keywords>LM25184-Q1 PSR flyback converter</cp:keywords>
  <cp:lastModifiedBy>Hegarty, Timothy</cp:lastModifiedBy>
  <cp:lastPrinted>2016-03-02T21:18:53Z</cp:lastPrinted>
  <dcterms:created xsi:type="dcterms:W3CDTF">1996-10-14T23:33:28Z</dcterms:created>
  <dcterms:modified xsi:type="dcterms:W3CDTF">2020-03-10T04:02:27Z</dcterms:modified>
</cp:coreProperties>
</file>